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ema.cima/Downloads/Consultation Spark/"/>
    </mc:Choice>
  </mc:AlternateContent>
  <xr:revisionPtr revIDLastSave="0" documentId="8_{80EB63DB-E56F-F645-BC39-BF34A6972986}" xr6:coauthVersionLast="47" xr6:coauthVersionMax="47" xr10:uidLastSave="{00000000-0000-0000-0000-000000000000}"/>
  <bookViews>
    <workbookView xWindow="0" yWindow="660" windowWidth="19420" windowHeight="11500" tabRatio="500" firstSheet="5" activeTab="9" xr2:uid="{00000000-000D-0000-FFFF-FFFF00000000}"/>
  </bookViews>
  <sheets>
    <sheet name="Read me" sheetId="1" r:id="rId1"/>
    <sheet name="Reference" sheetId="2" r:id="rId2"/>
    <sheet name="Measures" sheetId="3" r:id="rId3"/>
    <sheet name="Cal" sheetId="4" r:id="rId4"/>
    <sheet name="Results" sheetId="5" r:id="rId5"/>
    <sheet name="Example 1" sheetId="6" r:id="rId6"/>
    <sheet name="Example 2" sheetId="7" r:id="rId7"/>
    <sheet name="Example 3" sheetId="8" r:id="rId8"/>
    <sheet name="Feedback map" sheetId="9" r:id="rId9"/>
    <sheet name="Example 4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2" i="10" l="1"/>
  <c r="B36" i="10"/>
  <c r="B30" i="10"/>
  <c r="B29" i="10"/>
  <c r="B28" i="10"/>
  <c r="B41" i="10" s="1"/>
  <c r="B26" i="10"/>
  <c r="B43" i="10" s="1"/>
  <c r="C19" i="8"/>
  <c r="E19" i="8" s="1"/>
  <c r="C17" i="8"/>
  <c r="E17" i="8" s="1"/>
  <c r="C16" i="8"/>
  <c r="C18" i="8" s="1"/>
  <c r="C13" i="7"/>
  <c r="C14" i="7" s="1"/>
  <c r="C19" i="6"/>
  <c r="E19" i="6" s="1"/>
  <c r="E17" i="6"/>
  <c r="C17" i="6"/>
  <c r="C16" i="6"/>
  <c r="C18" i="6" s="1"/>
  <c r="E9" i="5"/>
  <c r="B9" i="5"/>
  <c r="D8" i="5"/>
  <c r="A7" i="5"/>
  <c r="H17" i="4"/>
  <c r="G17" i="4"/>
  <c r="F17" i="4"/>
  <c r="E17" i="4"/>
  <c r="D17" i="4"/>
  <c r="C17" i="4"/>
  <c r="F10" i="5" s="1"/>
  <c r="H16" i="4"/>
  <c r="G16" i="4"/>
  <c r="F16" i="4"/>
  <c r="E16" i="4"/>
  <c r="D16" i="4"/>
  <c r="C16" i="4"/>
  <c r="F9" i="5" s="1"/>
  <c r="H15" i="4"/>
  <c r="G15" i="4"/>
  <c r="F15" i="4"/>
  <c r="E15" i="4"/>
  <c r="D15" i="4"/>
  <c r="C15" i="4"/>
  <c r="C8" i="5" s="1"/>
  <c r="C14" i="4"/>
  <c r="C13" i="4"/>
  <c r="C12" i="4"/>
  <c r="H9" i="4"/>
  <c r="G9" i="4"/>
  <c r="F9" i="4"/>
  <c r="E9" i="4"/>
  <c r="D9" i="4"/>
  <c r="C9" i="4"/>
  <c r="H8" i="4"/>
  <c r="G8" i="4"/>
  <c r="F8" i="4"/>
  <c r="E8" i="4"/>
  <c r="D8" i="4"/>
  <c r="C8" i="4"/>
  <c r="H7" i="4"/>
  <c r="G7" i="4"/>
  <c r="F7" i="4"/>
  <c r="E7" i="4"/>
  <c r="D7" i="4"/>
  <c r="C7" i="4"/>
  <c r="H6" i="4"/>
  <c r="G6" i="4"/>
  <c r="F6" i="4"/>
  <c r="E6" i="4"/>
  <c r="D6" i="4"/>
  <c r="C6" i="4"/>
  <c r="H5" i="4"/>
  <c r="G5" i="4"/>
  <c r="F5" i="4"/>
  <c r="E5" i="4"/>
  <c r="D5" i="4"/>
  <c r="C5" i="4"/>
  <c r="H4" i="4"/>
  <c r="G4" i="4"/>
  <c r="F4" i="4"/>
  <c r="E4" i="4"/>
  <c r="D4" i="4"/>
  <c r="C4" i="4"/>
  <c r="G35" i="3"/>
  <c r="F35" i="3"/>
  <c r="E35" i="3"/>
  <c r="G31" i="3"/>
  <c r="F31" i="3"/>
  <c r="E31" i="3"/>
  <c r="D31" i="3"/>
  <c r="C31" i="3"/>
  <c r="B31" i="3"/>
  <c r="G28" i="3"/>
  <c r="F28" i="3"/>
  <c r="E28" i="3"/>
  <c r="D28" i="3"/>
  <c r="C28" i="3"/>
  <c r="B28" i="3"/>
  <c r="G22" i="3"/>
  <c r="G24" i="3" s="1"/>
  <c r="F22" i="3"/>
  <c r="F24" i="3" s="1"/>
  <c r="E22" i="3"/>
  <c r="E24" i="3" s="1"/>
  <c r="G20" i="3"/>
  <c r="F20" i="3"/>
  <c r="F21" i="3" s="1"/>
  <c r="E20" i="3"/>
  <c r="E21" i="3" s="1"/>
  <c r="C20" i="3"/>
  <c r="B20" i="3"/>
  <c r="G19" i="3"/>
  <c r="G21" i="3" s="1"/>
  <c r="F19" i="3"/>
  <c r="E19" i="3"/>
  <c r="C19" i="3"/>
  <c r="C21" i="3" s="1"/>
  <c r="B19" i="3"/>
  <c r="B21" i="3" s="1"/>
  <c r="G18" i="3"/>
  <c r="F18" i="3"/>
  <c r="E18" i="3"/>
  <c r="C18" i="3"/>
  <c r="B18" i="3"/>
  <c r="G17" i="3"/>
  <c r="F17" i="3"/>
  <c r="E17" i="3"/>
  <c r="D17" i="3"/>
  <c r="C17" i="3"/>
  <c r="G9" i="3"/>
  <c r="F9" i="3"/>
  <c r="E9" i="3"/>
  <c r="D9" i="3"/>
  <c r="D19" i="3" s="1"/>
  <c r="C9" i="3"/>
  <c r="B9" i="3"/>
  <c r="B17" i="3" s="1"/>
  <c r="G6" i="3"/>
  <c r="F6" i="3"/>
  <c r="E6" i="3"/>
  <c r="D6" i="3"/>
  <c r="C6" i="3"/>
  <c r="C22" i="3" s="1"/>
  <c r="B6" i="3"/>
  <c r="B22" i="3" s="1"/>
  <c r="B26" i="2"/>
  <c r="B24" i="3" l="1"/>
  <c r="B23" i="3"/>
  <c r="B25" i="3" s="1"/>
  <c r="E18" i="8"/>
  <c r="C20" i="8"/>
  <c r="C15" i="7"/>
  <c r="E14" i="7"/>
  <c r="C20" i="6"/>
  <c r="E18" i="6"/>
  <c r="C24" i="3"/>
  <c r="C23" i="3"/>
  <c r="C25" i="3"/>
  <c r="A6" i="5"/>
  <c r="E8" i="5"/>
  <c r="B27" i="10"/>
  <c r="B31" i="10" s="1"/>
  <c r="B32" i="10" s="1"/>
  <c r="F25" i="3"/>
  <c r="F8" i="5"/>
  <c r="A9" i="5"/>
  <c r="E23" i="3"/>
  <c r="D18" i="3"/>
  <c r="D20" i="3" s="1"/>
  <c r="D21" i="3" s="1"/>
  <c r="D22" i="3" s="1"/>
  <c r="F23" i="3"/>
  <c r="G23" i="3"/>
  <c r="C9" i="5"/>
  <c r="E16" i="6"/>
  <c r="D9" i="5"/>
  <c r="E25" i="3"/>
  <c r="G25" i="3"/>
  <c r="A10" i="5"/>
  <c r="B10" i="5"/>
  <c r="A5" i="5"/>
  <c r="C10" i="5"/>
  <c r="E13" i="7"/>
  <c r="E16" i="8"/>
  <c r="D10" i="5"/>
  <c r="A8" i="5"/>
  <c r="E10" i="5"/>
  <c r="B8" i="5"/>
  <c r="D24" i="3" l="1"/>
  <c r="D23" i="3"/>
  <c r="D25" i="3"/>
  <c r="B35" i="3"/>
  <c r="B32" i="3"/>
  <c r="B33" i="3"/>
  <c r="C35" i="3"/>
  <c r="C33" i="3"/>
  <c r="C32" i="3"/>
  <c r="E33" i="3"/>
  <c r="E32" i="3"/>
  <c r="C21" i="8"/>
  <c r="E20" i="8"/>
  <c r="C21" i="6"/>
  <c r="E20" i="6"/>
  <c r="E15" i="7"/>
  <c r="C17" i="7"/>
  <c r="C16" i="7"/>
  <c r="B34" i="10"/>
  <c r="B33" i="10"/>
  <c r="B35" i="10" s="1"/>
  <c r="B37" i="10" s="1"/>
  <c r="G33" i="3"/>
  <c r="G32" i="3"/>
  <c r="F33" i="3"/>
  <c r="F32" i="3"/>
  <c r="C23" i="8" l="1"/>
  <c r="C22" i="8"/>
  <c r="E21" i="8"/>
  <c r="E21" i="6"/>
  <c r="C23" i="6"/>
  <c r="C22" i="6"/>
  <c r="H13" i="4"/>
  <c r="F6" i="5" s="1"/>
  <c r="E13" i="4"/>
  <c r="C6" i="5" s="1"/>
  <c r="D13" i="4"/>
  <c r="B6" i="5" s="1"/>
  <c r="F13" i="4"/>
  <c r="D6" i="5" s="1"/>
  <c r="G13" i="4"/>
  <c r="E6" i="5" s="1"/>
  <c r="D20" i="4"/>
  <c r="B13" i="5" s="1"/>
  <c r="H20" i="4"/>
  <c r="F13" i="5" s="1"/>
  <c r="E20" i="4"/>
  <c r="C13" i="5" s="1"/>
  <c r="F20" i="4"/>
  <c r="D13" i="5" s="1"/>
  <c r="G20" i="4"/>
  <c r="E13" i="5" s="1"/>
  <c r="D35" i="3"/>
  <c r="D33" i="3"/>
  <c r="D32" i="3"/>
  <c r="B38" i="10"/>
  <c r="D12" i="4"/>
  <c r="E12" i="4"/>
  <c r="F12" i="4"/>
  <c r="H12" i="4"/>
  <c r="G12" i="4"/>
  <c r="C18" i="7"/>
  <c r="C20" i="7" s="1"/>
  <c r="E20" i="7" s="1"/>
  <c r="E16" i="7"/>
  <c r="E17" i="7"/>
  <c r="C5" i="5" l="1"/>
  <c r="E5" i="5"/>
  <c r="F5" i="5"/>
  <c r="G14" i="4"/>
  <c r="E7" i="5" s="1"/>
  <c r="F14" i="4"/>
  <c r="D7" i="5" s="1"/>
  <c r="H14" i="4"/>
  <c r="F7" i="5" s="1"/>
  <c r="E14" i="4"/>
  <c r="C7" i="5" s="1"/>
  <c r="D14" i="4"/>
  <c r="B7" i="5" s="1"/>
  <c r="C19" i="7"/>
  <c r="E19" i="7" s="1"/>
  <c r="E18" i="7"/>
  <c r="F18" i="4"/>
  <c r="D5" i="5"/>
  <c r="C24" i="6"/>
  <c r="C26" i="6" s="1"/>
  <c r="E26" i="6" s="1"/>
  <c r="E22" i="6"/>
  <c r="C24" i="8"/>
  <c r="E22" i="8"/>
  <c r="B5" i="5"/>
  <c r="E23" i="6"/>
  <c r="C26" i="8"/>
  <c r="E26" i="8" s="1"/>
  <c r="E23" i="8"/>
  <c r="F21" i="4" l="1"/>
  <c r="D14" i="5" s="1"/>
  <c r="D11" i="5"/>
  <c r="C25" i="6"/>
  <c r="E25" i="6" s="1"/>
  <c r="E24" i="6"/>
  <c r="C25" i="8"/>
  <c r="E25" i="8" s="1"/>
  <c r="E24" i="8"/>
  <c r="H18" i="4"/>
  <c r="D18" i="4"/>
  <c r="G18" i="4"/>
  <c r="E18" i="4"/>
  <c r="G21" i="4" l="1"/>
  <c r="E14" i="5" s="1"/>
  <c r="E11" i="5"/>
  <c r="E21" i="4"/>
  <c r="C14" i="5" s="1"/>
  <c r="C11" i="5"/>
  <c r="B11" i="5"/>
  <c r="D19" i="4"/>
  <c r="D21" i="4"/>
  <c r="B14" i="5" s="1"/>
  <c r="H21" i="4"/>
  <c r="F14" i="5" s="1"/>
  <c r="F11" i="5"/>
  <c r="E19" i="4" l="1"/>
  <c r="B12" i="5"/>
  <c r="F19" i="4" l="1"/>
  <c r="C12" i="5"/>
  <c r="G19" i="4" l="1"/>
  <c r="D12" i="5"/>
  <c r="E12" i="5" l="1"/>
  <c r="H19" i="4"/>
  <c r="F12" i="5" s="1"/>
  <c r="B16" i="5" s="1"/>
</calcChain>
</file>

<file path=xl/sharedStrings.xml><?xml version="1.0" encoding="utf-8"?>
<sst xmlns="http://schemas.openxmlformats.org/spreadsheetml/2006/main" count="258" uniqueCount="205">
  <si>
    <t>SPARK Methodology V1.0: Crediting-Period Model and Calculation Tool</t>
  </si>
  <si>
    <t>Measures are modelled and reported separately, so per-measure results remain visible alongside the activity total.</t>
  </si>
  <si>
    <t>Legend: yellow cells are inputs; white cells calculate; blue cells are reference values from Annex 1 (provisional sets as marked there).</t>
  </si>
  <si>
    <t>Reference values (Annex 1; provisional sets as marked there)</t>
  </si>
  <si>
    <t>dSD, suppressed-demand conservativeness deduction (Equation 3)</t>
  </si>
  <si>
    <t>Data-completeness threshold (Section 14.1.4)</t>
  </si>
  <si>
    <t>Table A1-8: default uncertainty adjustment factors (provisional)</t>
  </si>
  <si>
    <t>Direct per-unit metering</t>
  </si>
  <si>
    <t>Group or aggregate metering</t>
  </si>
  <si>
    <t>Sampling-based monitoring</t>
  </si>
  <si>
    <t>Metered displaced fuel (Track B)</t>
  </si>
  <si>
    <t>Not available where the baseline includes a fraction of non-renewable biomass (Section 13): apply the parameter-level propagation.</t>
  </si>
  <si>
    <t>Table A1-4 per-unit factors (kg CO2 per unit; provisional; IPCC 2006 Vol. 2 Ch. 1 Tables 1.2 and 1.4)</t>
  </si>
  <si>
    <t>Petrol</t>
  </si>
  <si>
    <t>litre</t>
  </si>
  <si>
    <t>Kerosene</t>
  </si>
  <si>
    <t>Gas-diesel oil (diesel)</t>
  </si>
  <si>
    <t>LPG</t>
  </si>
  <si>
    <t>kg</t>
  </si>
  <si>
    <t>Scale ceilings, tCO2e per year (Section 3.2.4)</t>
  </si>
  <si>
    <t>Micro</t>
  </si>
  <si>
    <t>Small</t>
  </si>
  <si>
    <t>Activity-level settings</t>
  </si>
  <si>
    <t>DAF (MT400-05 country default)</t>
  </si>
  <si>
    <t>Data completeness (post-replacement fraction)</t>
  </si>
  <si>
    <t>CF override (blank = Section 14.1.4 rule; prefilled 0.95 to match the Annex 7 examples)</t>
  </si>
  <si>
    <t>CF applied</t>
  </si>
  <si>
    <t>Crediting period LCP, years (minimum 5; Section 15)</t>
  </si>
  <si>
    <t>Measures: per-unit parameters, chains and five-year installation schedule (up to six measures)</t>
  </si>
  <si>
    <t>Measure name</t>
  </si>
  <si>
    <t>Solar home systems (households)</t>
  </si>
  <si>
    <t>Solar irrigation pumps (farmers)</t>
  </si>
  <si>
    <t>Solar dryers (enterprises)</t>
  </si>
  <si>
    <t>Module</t>
  </si>
  <si>
    <t>Electricity</t>
  </si>
  <si>
    <t>Mechanical</t>
  </si>
  <si>
    <t>Thermal</t>
  </si>
  <si>
    <t>Track (A / B / C-SD / C-AS)</t>
  </si>
  <si>
    <t>A</t>
  </si>
  <si>
    <t>B</t>
  </si>
  <si>
    <t>Monitoring option</t>
  </si>
  <si>
    <t>fUAF (Table A1-8)</t>
  </si>
  <si>
    <t>Edeliv per unit (kWh/y)</t>
  </si>
  <si>
    <t>Ceiling input (kWh/y)</t>
  </si>
  <si>
    <t>Ceiling effective</t>
  </si>
  <si>
    <t>ηbase</t>
  </si>
  <si>
    <t>EFneed (kg/kWh fuel)</t>
  </si>
  <si>
    <t>EFdisp (kg/kWh fuel)</t>
  </si>
  <si>
    <t>Displaced fuel metered? (Yes/No)</t>
  </si>
  <si>
    <t>No</t>
  </si>
  <si>
    <t>Yes</t>
  </si>
  <si>
    <t>FC displaced per unit (unit/y)</t>
  </si>
  <si>
    <t>EF per unit of fuel (kg/unit)</t>
  </si>
  <si>
    <t>Ebelow (Eq 1)</t>
  </si>
  <si>
    <t>Ebeyond (Eq 2)</t>
  </si>
  <si>
    <t>BEbelow kg (Eq 3)</t>
  </si>
  <si>
    <t>BEbeyond kg (Eq 4)</t>
  </si>
  <si>
    <t>BE per unit kg (Eq 5 basis)</t>
  </si>
  <si>
    <t>BEunc kg (Eq 6)</t>
  </si>
  <si>
    <t>BEadj kg (Eq 7)</t>
  </si>
  <si>
    <t>BAU kg (Eq 8)</t>
  </si>
  <si>
    <t>BEmin kg (Eq 9)</t>
  </si>
  <si>
    <t>Back-up fuel type</t>
  </si>
  <si>
    <t>Back-up fuel per unit (unit/y)</t>
  </si>
  <si>
    <t>AE per unit kg (Eq 11-12)</t>
  </si>
  <si>
    <t>Embodied per unit (kg CO2e)</t>
  </si>
  <si>
    <t>Technical lifetime Ltech (years)</t>
  </si>
  <si>
    <t>LE per unit kg/y (Eq 14)</t>
  </si>
  <si>
    <t>ER per unit kg/y (Eq 16)</t>
  </si>
  <si>
    <t>Δ per unit kg/y (Eq 10)</t>
  </si>
  <si>
    <t>Self-check target: BEmin (Annex 7)</t>
  </si>
  <si>
    <t>Self-check</t>
  </si>
  <si>
    <t>Units installed, Year 1</t>
  </si>
  <si>
    <t>Units installed, Year 2</t>
  </si>
  <si>
    <t>Units installed, Year 3</t>
  </si>
  <si>
    <t>Units installed, Year 4</t>
  </si>
  <si>
    <t>Units installed, Year 5</t>
  </si>
  <si>
    <t>Notes: BEmin self-check targets are the Annex 7 chains (Example 2 target is the exact value 2,285; the printed example rounds stepwise, DC-04). Example 2 states LE of 8 kg/y from amortisation over the 10-year lifetime; Equation 14 amortises over MIN(Ltech, LCP), giving 16 kg/y at a 5-year crediting period; the tool applies Equation 14 as written (registered DC-05).</t>
  </si>
  <si>
    <t>Engine: operating fleet and per-year results (a unit operates from its installation year for Ltech years)</t>
  </si>
  <si>
    <t>Install-year index</t>
  </si>
  <si>
    <t>Year</t>
  </si>
  <si>
    <t>Operating units</t>
  </si>
  <si>
    <t>ER per measure (tCO2e/y)</t>
  </si>
  <si>
    <t>ER total (tCO2e/y)</t>
  </si>
  <si>
    <t>ER cumulative (tCO2e)</t>
  </si>
  <si>
    <t>Δ total (tCO2e/y)</t>
  </si>
  <si>
    <t>Scale status (Section 3.2.4)</t>
  </si>
  <si>
    <t>Results: a typical community-scale, multi-measure activity over the crediting period</t>
  </si>
  <si>
    <t>Emission reductions by measure (tCO2e per year)</t>
  </si>
  <si>
    <t>Measure</t>
  </si>
  <si>
    <t>Year 1</t>
  </si>
  <si>
    <t>Year 2</t>
  </si>
  <si>
    <t>Year 3</t>
  </si>
  <si>
    <t>Year 4</t>
  </si>
  <si>
    <t>Year 5</t>
  </si>
  <si>
    <t>Total per year</t>
  </si>
  <si>
    <t>Cumulative</t>
  </si>
  <si>
    <t>Δ (host-Party term)</t>
  </si>
  <si>
    <t>Scale status</t>
  </si>
  <si>
    <t>Crediting-period total ER (tCO2e)</t>
  </si>
  <si>
    <t>What this shows: with roughly 1,200 solar home systems, 150 solar irrigation pumps and 100 solar dryers phased in over five years, a single community-scale activity delivers this crediting-period volume while remaining within the micro-scale ceiling, with each measure reported separately and equipment retiring on its technical lifetime.</t>
  </si>
  <si>
    <t>Example 1 (Annex 7): self-check against the printed values</t>
  </si>
  <si>
    <t>Inputs</t>
  </si>
  <si>
    <t>Edeliv (kWh)</t>
  </si>
  <si>
    <t>Ceiling (kWh)</t>
  </si>
  <si>
    <t>dSD</t>
  </si>
  <si>
    <t>fUAF (A1-8 direct metering)</t>
  </si>
  <si>
    <t>DAF</t>
  </si>
  <si>
    <t>CF (as stated in the example)</t>
  </si>
  <si>
    <t>LE embodied (kg/y)</t>
  </si>
  <si>
    <t>AE (kg/y)</t>
  </si>
  <si>
    <t>Chain</t>
  </si>
  <si>
    <t>Computed</t>
  </si>
  <si>
    <t>Printed</t>
  </si>
  <si>
    <t>Check</t>
  </si>
  <si>
    <t>Ebelow (Eq1)</t>
  </si>
  <si>
    <t>Ebeyond (Eq2)</t>
  </si>
  <si>
    <t>BEbelow (Eq3, kg)</t>
  </si>
  <si>
    <t>BEbeyond (Eq4, kg)</t>
  </si>
  <si>
    <t>BE (Eq5, kg)</t>
  </si>
  <si>
    <t>BEunc (Eq6, kg)</t>
  </si>
  <si>
    <t>BEadj (Eq7, kg)</t>
  </si>
  <si>
    <t>BAU (Eq8, kg)</t>
  </si>
  <si>
    <t>BEmin (Eq9, kg)</t>
  </si>
  <si>
    <t>ER (Eq16, kg)</t>
  </si>
  <si>
    <t>Delta (Eq10, kg)</t>
  </si>
  <si>
    <t>Exact values carried through; each printed value is the rounded display (1 d.p.). CF = 0.95 is the example-stated input; in an activity, CF follows Section 14.1.4.</t>
  </si>
  <si>
    <t>Example 2 (Annex 7): self-check against the printed values</t>
  </si>
  <si>
    <t>Displaced diesel (litres, monitored)</t>
  </si>
  <si>
    <t>EF per litre (kg CO2)</t>
  </si>
  <si>
    <t>fUAF (A1-8 metered displaced fuel)</t>
  </si>
  <si>
    <t>LE embodied (kg/y, as stated)</t>
  </si>
  <si>
    <t>Reproduces the printed chain, which rounds at each step (DC-04) and states LE from amortisation over the 10-year lifetime; Equation 14 amortises over MIN(Ltech, LCP), giving 16 kg/y at a 5-year crediting period (DC-05). The Measures sheet applies Equation 14 as written.</t>
  </si>
  <si>
    <t>Example 3 (Annex 7): self-check against the printed values</t>
  </si>
  <si>
    <t>Edeliv (kWh thermal)</t>
  </si>
  <si>
    <t>ηbase (LPG heater)</t>
  </si>
  <si>
    <t>Exact values carried through; printed values are the rounded display (integers).</t>
  </si>
  <si>
    <t>Where feedback helps most</t>
  </si>
  <si>
    <t>Tool area</t>
  </si>
  <si>
    <t>Methodology section</t>
  </si>
  <si>
    <t>Consultation question</t>
  </si>
  <si>
    <t>Baseline approach: Step 1 Options A and B</t>
  </si>
  <si>
    <t>Section 7, Step 1</t>
  </si>
  <si>
    <t>CQ 1</t>
  </si>
  <si>
    <t>Option A benchmark stringency (ηbase, EFneed inputs)</t>
  </si>
  <si>
    <t>Section 7, Step 1(a)-(f)</t>
  </si>
  <si>
    <t>CQ 2</t>
  </si>
  <si>
    <t>Benchmark floor and fallback</t>
  </si>
  <si>
    <t>Section 7, Step 1(d)-(e)</t>
  </si>
  <si>
    <t>CQ 3</t>
  </si>
  <si>
    <t>Track B under paragraph 36(c) (ceiling collapse)</t>
  </si>
  <si>
    <t>Section 7, Step 2</t>
  </si>
  <si>
    <t>CQ 4</t>
  </si>
  <si>
    <t>Unit of additionality for multi-measure activities</t>
  </si>
  <si>
    <t>Section 6.8.1</t>
  </si>
  <si>
    <t>CQ 5</t>
  </si>
  <si>
    <t>Default fUAF values (Table A1-8) and per-unit factors (Table A1-4)</t>
  </si>
  <si>
    <t>Sections 13 and 8; Annex 1</t>
  </si>
  <si>
    <t>General comment</t>
  </si>
  <si>
    <t>Crediting-period model: phasing, lifetimes, Equation 14 amortisation</t>
  </si>
  <si>
    <t>Sections 9 and 15; Annex 3</t>
  </si>
  <si>
    <t>Example 4 (Annex 7): integrated hybrid clinic, Track C. Annex 7 defines the structure; the quantities below are illustrative inputs.</t>
  </si>
  <si>
    <t>Illustrative inputs</t>
  </si>
  <si>
    <t>Diesel generator fuel, monitored (litres/y)</t>
  </si>
  <si>
    <t>Diesel per-litre factor (kg CO2, Table A1-4)</t>
  </si>
  <si>
    <t>Generator fuel share serving electricity</t>
  </si>
  <si>
    <t>Generator fuel share serving pumping</t>
  </si>
  <si>
    <t>Institutional electricity need (kWh/y, per Table A1-2, illustrative)</t>
  </si>
  <si>
    <t>Pre-activity electricity supplied by the generator (kWh/y)</t>
  </si>
  <si>
    <t>Hot-water useful energy at the adequate-service level (kWh/y)</t>
  </si>
  <si>
    <t>Baseline water-heater efficiency (LPG, Ex3)</t>
  </si>
  <si>
    <t>LPG counterfactual factor (kg CO2/kWh fuel)</t>
  </si>
  <si>
    <t>Generator electricity efficiency (Annex C class default)</t>
  </si>
  <si>
    <t>Electricity counterfactual factor (kg CO2/kWh fuel)</t>
  </si>
  <si>
    <t>PV net generation (kWh/y)</t>
  </si>
  <si>
    <t>Pump electrical input from PV (kWh/y)</t>
  </si>
  <si>
    <t>fUAF (Table A1-8, direct metering)</t>
  </si>
  <si>
    <t>CF (as stated in the examples)</t>
  </si>
  <si>
    <t>Embodied, all hardware (kg CO2e)</t>
  </si>
  <si>
    <t>Technical lifetime (y)</t>
  </si>
  <si>
    <t>Crediting period LCP (y)</t>
  </si>
  <si>
    <t>Suppressed-demand increment, electricity (kWh) = need - existing</t>
  </si>
  <si>
    <t>BE below-ceiling, electricity (kg, Eq 3)</t>
  </si>
  <si>
    <t>Displacement, electricity (kg, apportioned fuel)</t>
  </si>
  <si>
    <t>Displacement, pumping (kg, apportioned fuel)</t>
  </si>
  <si>
    <t>BE thermal below-ceiling (kg, Eq 3)</t>
  </si>
  <si>
    <t>BE total (kg, Eq 5 basis)</t>
  </si>
  <si>
    <t>BEunc (Eq 6)</t>
  </si>
  <si>
    <t>BEadj (Eq 7)</t>
  </si>
  <si>
    <t>BAU (Eq 8)</t>
  </si>
  <si>
    <t>BEmin (Eq 9)</t>
  </si>
  <si>
    <t>LE embodied (kg/y, Eq 14)</t>
  </si>
  <si>
    <t>ER (kg CO2e per clinic per year, Eq 16)</t>
  </si>
  <si>
    <t>Delta (kg, Eq 10)</t>
  </si>
  <si>
    <t>Reconciliation checks (Section 10.2 of the methodology)</t>
  </si>
  <si>
    <t>Shared-baseline apportionment: displaced (electricity + pumping) vs generator actual emissions</t>
  </si>
  <si>
    <t>Physical bound: PV net generation vs electricity service plus pump input</t>
  </si>
  <si>
    <t>Need bound: suppressed-demand increment vs need minus existing</t>
  </si>
  <si>
    <t>One need, one claim: hot water claimed as thermal only; pumping as mechanical only (structural, per the row design).</t>
  </si>
  <si>
    <t>Note. Annex 7, Example 4 is compositional and states no figures; this sheet operationalises it with illustrative quantities so the reconciliation rules can be seen binding. Track migration at renewal (Sections 17 and A8.5) is a re-assessment, not a formula.</t>
  </si>
  <si>
    <t>Status: Draft for Public Consultation, Illustrative and non-normative: the methodology text governs on any discrepancy.</t>
  </si>
  <si>
    <t>Purpose: The prefilled Typical project is a multi-measure energy-access activity (solar home systems, solar irrigation pumps, solar dryers) modelled over a full five-year crediting period with progressive installation, lifetime-based retirement of equipment, and Equation 14 embodied-emission amortisation.</t>
  </si>
  <si>
    <t>How to use: enter your measures and their five-year installation schedule on the Measures sheet; the Cal sheet builds the operating fleet per year (a unit operates from its installation year for its technical lifetime); Results shows emission reductions per measure per year, the cumulative total, the host-Party transparency term, and the Section 3.2.4 scale status.</t>
  </si>
  <si>
    <t>Verification: the Measures sheet produce the Annex 7 examples.</t>
  </si>
  <si>
    <t>Feedback: Sumit comments through the Gold Standard consultation portal, citing the consultation question numbers.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</si>
</sst>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b/>
      <sz val="13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rgb="FFD9D9D9"/>
      </patternFill>
    </fill>
    <fill>
      <patternFill patternType="solid">
        <fgColor rgb="FFFFF2CC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2" fillId="2" borderId="0" xfId="0" applyFont="1" applyFill="1"/>
    <xf numFmtId="0" fontId="2" fillId="0" borderId="0" xfId="0" applyFont="1"/>
    <xf numFmtId="0" fontId="2" fillId="3" borderId="0" xfId="0" applyFont="1" applyFill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/>
    <xf numFmtId="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3A9CE"/>
      <rgbColor rgb="FFAB4744"/>
      <rgbColor rgb="FFFFF2CC"/>
      <rgbColor rgb="FFDDEBF7"/>
      <rgbColor rgb="FF660066"/>
      <rgbColor rgb="FFDC853E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672A8"/>
      <rgbColor rgb="FF33CCCC"/>
      <rgbColor rgb="FF99CC00"/>
      <rgbColor rgb="FFFFCC00"/>
      <rgbColor rgb="FFFF9900"/>
      <rgbColor rgb="FFFF6600"/>
      <rgbColor rgb="FF725990"/>
      <rgbColor rgb="FF8AA64F"/>
      <rgbColor rgb="FF003366"/>
      <rgbColor rgb="FF4299B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GB" sz="1800" b="1" strike="noStrike" spc="-1">
                <a:solidFill>
                  <a:srgbClr val="000000"/>
                </a:solidFill>
                <a:latin typeface="Calibri"/>
              </a:rPr>
              <a:t>Emission reductions by measure and year (tCO2e)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4672A8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Results!$B$4:$F$4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90-40F9-B773-066B778667AB}"/>
            </c:ext>
          </c:extLst>
        </c:ser>
        <c:ser>
          <c:idx val="1"/>
          <c:order val="1"/>
          <c:spPr>
            <a:solidFill>
              <a:srgbClr val="AB4744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Results!$B$5:$F$5</c:f>
              <c:numCache>
                <c:formatCode>0</c:formatCode>
                <c:ptCount val="5"/>
                <c:pt idx="0">
                  <c:v>4.0029918480000015</c:v>
                </c:pt>
                <c:pt idx="1">
                  <c:v>8.005983696000003</c:v>
                </c:pt>
                <c:pt idx="2">
                  <c:v>12.008975544000004</c:v>
                </c:pt>
                <c:pt idx="3">
                  <c:v>14.677636776000005</c:v>
                </c:pt>
                <c:pt idx="4">
                  <c:v>16.011967392000006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90-40F9-B773-066B778667AB}"/>
            </c:ext>
          </c:extLst>
        </c:ser>
        <c:ser>
          <c:idx val="2"/>
          <c:order val="2"/>
          <c:spPr>
            <a:solidFill>
              <a:srgbClr val="8AA64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Results!$B$6:$F$6</c:f>
              <c:numCache>
                <c:formatCode>0</c:formatCode>
                <c:ptCount val="5"/>
                <c:pt idx="0">
                  <c:v>72.653279999999995</c:v>
                </c:pt>
                <c:pt idx="1">
                  <c:v>145.30655999999999</c:v>
                </c:pt>
                <c:pt idx="2">
                  <c:v>217.95983999999999</c:v>
                </c:pt>
                <c:pt idx="3">
                  <c:v>290.61311999999998</c:v>
                </c:pt>
                <c:pt idx="4">
                  <c:v>363.26639999999998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90-40F9-B773-066B778667AB}"/>
            </c:ext>
          </c:extLst>
        </c:ser>
        <c:ser>
          <c:idx val="3"/>
          <c:order val="3"/>
          <c:spPr>
            <a:solidFill>
              <a:srgbClr val="72599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Results!$B$7:$F$7</c:f>
              <c:numCache>
                <c:formatCode>0</c:formatCode>
                <c:ptCount val="5"/>
                <c:pt idx="0">
                  <c:v>5.9575222399999994</c:v>
                </c:pt>
                <c:pt idx="1">
                  <c:v>11.915044479999999</c:v>
                </c:pt>
                <c:pt idx="2">
                  <c:v>17.872566719999998</c:v>
                </c:pt>
                <c:pt idx="3">
                  <c:v>23.830088959999998</c:v>
                </c:pt>
                <c:pt idx="4">
                  <c:v>29.787611200000001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190-40F9-B773-066B778667AB}"/>
            </c:ext>
          </c:extLst>
        </c:ser>
        <c:ser>
          <c:idx val="4"/>
          <c:order val="4"/>
          <c:spPr>
            <a:solidFill>
              <a:srgbClr val="4299B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Results!$B$8:$F$8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190-40F9-B773-066B778667AB}"/>
            </c:ext>
          </c:extLst>
        </c:ser>
        <c:ser>
          <c:idx val="5"/>
          <c:order val="5"/>
          <c:spPr>
            <a:solidFill>
              <a:srgbClr val="DC853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Results!$B$9:$F$9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190-40F9-B773-066B778667AB}"/>
            </c:ext>
          </c:extLst>
        </c:ser>
        <c:ser>
          <c:idx val="6"/>
          <c:order val="6"/>
          <c:spPr>
            <a:solidFill>
              <a:srgbClr val="93A9C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Results!$B$10:$F$10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190-40F9-B773-066B778667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437961"/>
        <c:axId val="71438543"/>
      </c:barChart>
      <c:catAx>
        <c:axId val="4943796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1438543"/>
        <c:crosses val="autoZero"/>
        <c:auto val="1"/>
        <c:lblAlgn val="ctr"/>
        <c:lblOffset val="100"/>
        <c:noMultiLvlLbl val="0"/>
      </c:catAx>
      <c:valAx>
        <c:axId val="7143854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4943796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176040</xdr:rowOff>
    </xdr:from>
    <xdr:to>
      <xdr:col>5</xdr:col>
      <xdr:colOff>306720</xdr:colOff>
      <xdr:row>37</xdr:row>
      <xdr:rowOff>155880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topLeftCell="A3" zoomScaleNormal="100" workbookViewId="0">
      <selection activeCell="A10" sqref="A10"/>
    </sheetView>
  </sheetViews>
  <sheetFormatPr baseColWidth="10" defaultColWidth="8.6640625" defaultRowHeight="15" x14ac:dyDescent="0.2"/>
  <cols>
    <col min="1" max="1" width="150" customWidth="1"/>
  </cols>
  <sheetData>
    <row r="1" spans="1:1" ht="15.75" customHeight="1" x14ac:dyDescent="0.2">
      <c r="A1" s="1" t="s">
        <v>0</v>
      </c>
    </row>
    <row r="3" spans="1:1" ht="30" customHeight="1" x14ac:dyDescent="0.2">
      <c r="A3" s="2" t="s">
        <v>200</v>
      </c>
    </row>
    <row r="4" spans="1:1" ht="30" customHeight="1" x14ac:dyDescent="0.2">
      <c r="A4" s="2" t="s">
        <v>201</v>
      </c>
    </row>
    <row r="5" spans="1:1" ht="40.5" customHeight="1" x14ac:dyDescent="0.2">
      <c r="A5" s="2" t="s">
        <v>202</v>
      </c>
    </row>
    <row r="6" spans="1:1" ht="30" customHeight="1" x14ac:dyDescent="0.2">
      <c r="A6" s="2" t="s">
        <v>1</v>
      </c>
    </row>
    <row r="7" spans="1:1" ht="30" customHeight="1" x14ac:dyDescent="0.2">
      <c r="A7" s="2" t="s">
        <v>203</v>
      </c>
    </row>
    <row r="8" spans="1:1" ht="30" customHeight="1" x14ac:dyDescent="0.2">
      <c r="A8" s="2" t="s">
        <v>2</v>
      </c>
    </row>
    <row r="9" spans="1:1" ht="30" customHeight="1" x14ac:dyDescent="0.2">
      <c r="A9" s="2" t="s">
        <v>204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topLeftCell="A4" zoomScaleNormal="100" workbookViewId="0">
      <selection activeCell="B24" sqref="A1:XFD1048576"/>
    </sheetView>
  </sheetViews>
  <sheetFormatPr baseColWidth="10" defaultColWidth="8.6640625" defaultRowHeight="15" x14ac:dyDescent="0.2"/>
  <cols>
    <col min="1" max="1" width="95" customWidth="1"/>
    <col min="2" max="3" width="12" customWidth="1"/>
  </cols>
  <sheetData>
    <row r="1" spans="1:3" ht="15" customHeight="1" x14ac:dyDescent="0.2">
      <c r="A1" s="3" t="s">
        <v>3</v>
      </c>
    </row>
    <row r="2" spans="1:3" ht="15" customHeight="1" x14ac:dyDescent="0.2">
      <c r="A2" s="4" t="s">
        <v>4</v>
      </c>
      <c r="B2" s="4">
        <v>0.05</v>
      </c>
    </row>
    <row r="3" spans="1:3" ht="15" customHeight="1" x14ac:dyDescent="0.2">
      <c r="A3" s="4" t="s">
        <v>5</v>
      </c>
      <c r="B3" s="4">
        <v>0.95</v>
      </c>
    </row>
    <row r="5" spans="1:3" ht="15" customHeight="1" x14ac:dyDescent="0.2">
      <c r="A5" s="3" t="s">
        <v>6</v>
      </c>
    </row>
    <row r="6" spans="1:3" ht="15" customHeight="1" x14ac:dyDescent="0.2">
      <c r="A6" s="4" t="s">
        <v>7</v>
      </c>
      <c r="B6" s="4">
        <v>0.77</v>
      </c>
    </row>
    <row r="7" spans="1:3" ht="15" customHeight="1" x14ac:dyDescent="0.2">
      <c r="A7" s="4" t="s">
        <v>8</v>
      </c>
      <c r="B7" s="4">
        <v>0.74</v>
      </c>
    </row>
    <row r="8" spans="1:3" ht="15" customHeight="1" x14ac:dyDescent="0.2">
      <c r="A8" s="4" t="s">
        <v>9</v>
      </c>
      <c r="B8" s="4">
        <v>0.74</v>
      </c>
    </row>
    <row r="9" spans="1:3" ht="15" customHeight="1" x14ac:dyDescent="0.2">
      <c r="A9" s="4" t="s">
        <v>10</v>
      </c>
      <c r="B9" s="4">
        <v>0.9</v>
      </c>
    </row>
    <row r="10" spans="1:3" ht="15" customHeight="1" x14ac:dyDescent="0.2">
      <c r="A10" s="5" t="s">
        <v>11</v>
      </c>
    </row>
    <row r="12" spans="1:3" ht="15" customHeight="1" x14ac:dyDescent="0.2">
      <c r="A12" s="3" t="s">
        <v>12</v>
      </c>
    </row>
    <row r="13" spans="1:3" ht="15" customHeight="1" x14ac:dyDescent="0.2">
      <c r="A13" s="4" t="s">
        <v>13</v>
      </c>
      <c r="B13" s="4" t="s">
        <v>14</v>
      </c>
      <c r="C13" s="4">
        <v>2.2999999999999998</v>
      </c>
    </row>
    <row r="14" spans="1:3" ht="15" customHeight="1" x14ac:dyDescent="0.2">
      <c r="A14" s="4" t="s">
        <v>15</v>
      </c>
      <c r="B14" s="4" t="s">
        <v>14</v>
      </c>
      <c r="C14" s="4">
        <v>2.5</v>
      </c>
    </row>
    <row r="15" spans="1:3" ht="15" customHeight="1" x14ac:dyDescent="0.2">
      <c r="A15" s="4" t="s">
        <v>16</v>
      </c>
      <c r="B15" s="4" t="s">
        <v>14</v>
      </c>
      <c r="C15" s="4">
        <v>2.7</v>
      </c>
    </row>
    <row r="16" spans="1:3" ht="15" customHeight="1" x14ac:dyDescent="0.2">
      <c r="A16" s="4" t="s">
        <v>17</v>
      </c>
      <c r="B16" s="4" t="s">
        <v>18</v>
      </c>
      <c r="C16" s="4">
        <v>3</v>
      </c>
    </row>
    <row r="18" spans="1:2" ht="15" customHeight="1" x14ac:dyDescent="0.2">
      <c r="A18" s="3" t="s">
        <v>19</v>
      </c>
    </row>
    <row r="19" spans="1:2" ht="15" customHeight="1" x14ac:dyDescent="0.2">
      <c r="A19" s="4" t="s">
        <v>20</v>
      </c>
      <c r="B19" s="4">
        <v>10000</v>
      </c>
    </row>
    <row r="20" spans="1:2" ht="15" customHeight="1" x14ac:dyDescent="0.2">
      <c r="A20" s="4" t="s">
        <v>21</v>
      </c>
      <c r="B20" s="4">
        <v>60000</v>
      </c>
    </row>
    <row r="22" spans="1:2" ht="15" customHeight="1" x14ac:dyDescent="0.2">
      <c r="A22" s="3" t="s">
        <v>22</v>
      </c>
    </row>
    <row r="23" spans="1:2" ht="15" customHeight="1" x14ac:dyDescent="0.2">
      <c r="A23" s="5" t="s">
        <v>23</v>
      </c>
      <c r="B23" s="6">
        <v>0.04</v>
      </c>
    </row>
    <row r="24" spans="1:2" ht="15" customHeight="1" x14ac:dyDescent="0.2">
      <c r="A24" s="5" t="s">
        <v>24</v>
      </c>
      <c r="B24" s="6">
        <v>0.97</v>
      </c>
    </row>
    <row r="25" spans="1:2" ht="15" customHeight="1" x14ac:dyDescent="0.2">
      <c r="A25" s="5" t="s">
        <v>25</v>
      </c>
      <c r="B25" s="6">
        <v>0.95</v>
      </c>
    </row>
    <row r="26" spans="1:2" ht="15" customHeight="1" x14ac:dyDescent="0.2">
      <c r="A26" s="5" t="s">
        <v>26</v>
      </c>
      <c r="B26" s="5">
        <f>IF($B$25&lt;&gt;"",$B$25,IF($B$24&gt;=$B$3,1,$B$24))</f>
        <v>0.95</v>
      </c>
    </row>
    <row r="27" spans="1:2" ht="15" customHeight="1" x14ac:dyDescent="0.2">
      <c r="A27" s="5" t="s">
        <v>27</v>
      </c>
      <c r="B27" s="6">
        <v>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3"/>
  <sheetViews>
    <sheetView zoomScaleNormal="100" workbookViewId="0">
      <selection activeCell="C15" sqref="A1:XFD1048576"/>
    </sheetView>
  </sheetViews>
  <sheetFormatPr baseColWidth="10" defaultColWidth="8.6640625" defaultRowHeight="15" x14ac:dyDescent="0.2"/>
  <cols>
    <col min="1" max="1" width="44" customWidth="1"/>
    <col min="2" max="7" width="17" customWidth="1"/>
  </cols>
  <sheetData>
    <row r="1" spans="1:7" ht="15.75" customHeight="1" x14ac:dyDescent="0.2">
      <c r="A1" s="1" t="s">
        <v>28</v>
      </c>
    </row>
    <row r="2" spans="1:7" ht="15" customHeight="1" x14ac:dyDescent="0.2">
      <c r="A2" s="3" t="s">
        <v>29</v>
      </c>
      <c r="B2" s="6" t="s">
        <v>30</v>
      </c>
      <c r="C2" s="6" t="s">
        <v>31</v>
      </c>
      <c r="D2" s="6" t="s">
        <v>32</v>
      </c>
      <c r="E2" s="6"/>
      <c r="F2" s="6"/>
      <c r="G2" s="6"/>
    </row>
    <row r="3" spans="1:7" ht="15" customHeight="1" x14ac:dyDescent="0.2">
      <c r="A3" s="5" t="s">
        <v>33</v>
      </c>
      <c r="B3" s="6" t="s">
        <v>34</v>
      </c>
      <c r="C3" s="6" t="s">
        <v>35</v>
      </c>
      <c r="D3" s="6" t="s">
        <v>36</v>
      </c>
      <c r="E3" s="6"/>
      <c r="F3" s="6"/>
      <c r="G3" s="6"/>
    </row>
    <row r="4" spans="1:7" ht="15" customHeight="1" x14ac:dyDescent="0.2">
      <c r="A4" s="5" t="s">
        <v>37</v>
      </c>
      <c r="B4" s="6" t="s">
        <v>38</v>
      </c>
      <c r="C4" s="6" t="s">
        <v>39</v>
      </c>
      <c r="D4" s="6" t="s">
        <v>38</v>
      </c>
      <c r="E4" s="6"/>
      <c r="F4" s="6"/>
      <c r="G4" s="6"/>
    </row>
    <row r="5" spans="1:7" ht="15" customHeight="1" x14ac:dyDescent="0.2">
      <c r="A5" s="5" t="s">
        <v>40</v>
      </c>
      <c r="B5" s="6" t="s">
        <v>7</v>
      </c>
      <c r="C5" s="6" t="s">
        <v>10</v>
      </c>
      <c r="D5" s="6" t="s">
        <v>7</v>
      </c>
      <c r="E5" s="6"/>
      <c r="F5" s="6"/>
      <c r="G5" s="6"/>
    </row>
    <row r="6" spans="1:7" ht="15" customHeight="1" x14ac:dyDescent="0.2">
      <c r="A6" s="5" t="s">
        <v>41</v>
      </c>
      <c r="B6" s="5">
        <f>IF(B5="","",INDEX(Reference!$B$6:$B$9,MATCH(B5,Reference!$A$6:$A$9,0)))</f>
        <v>0.77</v>
      </c>
      <c r="C6" s="5">
        <f>IF(C5="","",INDEX(Reference!$B$6:$B$9,MATCH(C5,Reference!$A$6:$A$9,0)))</f>
        <v>0.9</v>
      </c>
      <c r="D6" s="5">
        <f>IF(D5="","",INDEX(Reference!$B$6:$B$9,MATCH(D5,Reference!$A$6:$A$9,0)))</f>
        <v>0.77</v>
      </c>
      <c r="E6" s="5" t="str">
        <f>IF(E5="","",INDEX(Reference!$B$6:$B$9,MATCH(E5,Reference!$A$6:$A$9,0)))</f>
        <v/>
      </c>
      <c r="F6" s="5" t="str">
        <f>IF(F5="","",INDEX(Reference!$B$6:$B$9,MATCH(F5,Reference!$A$6:$A$9,0)))</f>
        <v/>
      </c>
      <c r="G6" s="5" t="str">
        <f>IF(G5="","",INDEX(Reference!$B$6:$B$9,MATCH(G5,Reference!$A$6:$A$9,0)))</f>
        <v/>
      </c>
    </row>
    <row r="7" spans="1:7" ht="15" customHeight="1" x14ac:dyDescent="0.2">
      <c r="A7" s="5" t="s">
        <v>42</v>
      </c>
      <c r="B7" s="6">
        <v>150</v>
      </c>
      <c r="C7" s="6"/>
      <c r="D7" s="6">
        <v>1260</v>
      </c>
      <c r="E7" s="6"/>
      <c r="F7" s="6"/>
      <c r="G7" s="6"/>
    </row>
    <row r="8" spans="1:7" ht="15" customHeight="1" x14ac:dyDescent="0.2">
      <c r="A8" s="5" t="s">
        <v>43</v>
      </c>
      <c r="B8" s="6">
        <v>73</v>
      </c>
      <c r="C8" s="6"/>
      <c r="D8" s="6">
        <v>1000</v>
      </c>
      <c r="E8" s="6"/>
      <c r="F8" s="6"/>
      <c r="G8" s="6"/>
    </row>
    <row r="9" spans="1:7" ht="15" customHeight="1" x14ac:dyDescent="0.2">
      <c r="A9" s="5" t="s">
        <v>44</v>
      </c>
      <c r="B9" s="5">
        <f t="shared" ref="B9:G9" si="0">IF(OR(B4="B",B4="C-AS"),0,IF(B8="",0,B8))</f>
        <v>73</v>
      </c>
      <c r="C9" s="5">
        <f t="shared" si="0"/>
        <v>0</v>
      </c>
      <c r="D9" s="5">
        <f t="shared" si="0"/>
        <v>1000</v>
      </c>
      <c r="E9" s="5">
        <f t="shared" si="0"/>
        <v>0</v>
      </c>
      <c r="F9" s="5">
        <f t="shared" si="0"/>
        <v>0</v>
      </c>
      <c r="G9" s="5">
        <f t="shared" si="0"/>
        <v>0</v>
      </c>
    </row>
    <row r="10" spans="1:7" ht="15" customHeight="1" x14ac:dyDescent="0.2">
      <c r="A10" s="5" t="s">
        <v>45</v>
      </c>
      <c r="B10" s="6">
        <v>0.3</v>
      </c>
      <c r="C10" s="6"/>
      <c r="D10" s="6">
        <v>0.5</v>
      </c>
      <c r="E10" s="6"/>
      <c r="F10" s="6"/>
      <c r="G10" s="6"/>
    </row>
    <row r="11" spans="1:7" ht="15" customHeight="1" x14ac:dyDescent="0.2">
      <c r="A11" s="5" t="s">
        <v>46</v>
      </c>
      <c r="B11" s="6">
        <v>0.26700000000000002</v>
      </c>
      <c r="C11" s="6"/>
      <c r="D11" s="6">
        <v>0.22700000000000001</v>
      </c>
      <c r="E11" s="6"/>
      <c r="F11" s="6"/>
      <c r="G11" s="6"/>
    </row>
    <row r="12" spans="1:7" ht="15" customHeight="1" x14ac:dyDescent="0.2">
      <c r="A12" s="5" t="s">
        <v>47</v>
      </c>
      <c r="B12" s="6">
        <v>0</v>
      </c>
      <c r="C12" s="6"/>
      <c r="D12" s="6">
        <v>0</v>
      </c>
      <c r="E12" s="6"/>
      <c r="F12" s="6"/>
      <c r="G12" s="6"/>
    </row>
    <row r="13" spans="1:7" ht="15" customHeight="1" x14ac:dyDescent="0.2">
      <c r="A13" s="5" t="s">
        <v>48</v>
      </c>
      <c r="B13" s="6" t="s">
        <v>49</v>
      </c>
      <c r="C13" s="6" t="s">
        <v>50</v>
      </c>
      <c r="D13" s="6" t="s">
        <v>49</v>
      </c>
      <c r="E13" s="6"/>
      <c r="F13" s="6"/>
      <c r="G13" s="6"/>
    </row>
    <row r="14" spans="1:7" ht="15" customHeight="1" x14ac:dyDescent="0.2">
      <c r="A14" s="5" t="s">
        <v>51</v>
      </c>
      <c r="B14" s="6"/>
      <c r="C14" s="6">
        <v>1100</v>
      </c>
      <c r="D14" s="6"/>
      <c r="E14" s="6"/>
      <c r="F14" s="6"/>
      <c r="G14" s="6"/>
    </row>
    <row r="15" spans="1:7" ht="15" customHeight="1" x14ac:dyDescent="0.2">
      <c r="A15" s="5" t="s">
        <v>52</v>
      </c>
      <c r="B15" s="6"/>
      <c r="C15" s="6">
        <v>2.7</v>
      </c>
      <c r="D15" s="6"/>
      <c r="E15" s="6"/>
      <c r="F15" s="6"/>
      <c r="G15" s="6"/>
    </row>
    <row r="17" spans="1:7" ht="15" customHeight="1" x14ac:dyDescent="0.2">
      <c r="A17" s="5" t="s">
        <v>53</v>
      </c>
      <c r="B17" s="5">
        <f t="shared" ref="B17:G17" si="1">IF(B7="","",MIN(B7,B9))</f>
        <v>73</v>
      </c>
      <c r="C17" s="5" t="str">
        <f t="shared" si="1"/>
        <v/>
      </c>
      <c r="D17" s="5">
        <f t="shared" si="1"/>
        <v>1000</v>
      </c>
      <c r="E17" s="5" t="str">
        <f t="shared" si="1"/>
        <v/>
      </c>
      <c r="F17" s="5" t="str">
        <f t="shared" si="1"/>
        <v/>
      </c>
      <c r="G17" s="5" t="str">
        <f t="shared" si="1"/>
        <v/>
      </c>
    </row>
    <row r="18" spans="1:7" ht="15" customHeight="1" x14ac:dyDescent="0.2">
      <c r="A18" s="5" t="s">
        <v>54</v>
      </c>
      <c r="B18" s="5">
        <f t="shared" ref="B18:G18" si="2">IF(B7="","",MAX(0,B7-B9))</f>
        <v>77</v>
      </c>
      <c r="C18" s="5" t="str">
        <f t="shared" si="2"/>
        <v/>
      </c>
      <c r="D18" s="5">
        <f t="shared" si="2"/>
        <v>260</v>
      </c>
      <c r="E18" s="5" t="str">
        <f t="shared" si="2"/>
        <v/>
      </c>
      <c r="F18" s="5" t="str">
        <f t="shared" si="2"/>
        <v/>
      </c>
      <c r="G18" s="5" t="str">
        <f t="shared" si="2"/>
        <v/>
      </c>
    </row>
    <row r="19" spans="1:7" ht="15" customHeight="1" x14ac:dyDescent="0.2">
      <c r="A19" s="5" t="s">
        <v>55</v>
      </c>
      <c r="B19" s="5">
        <f>IF(OR(B7="",B10="",B10=0,B11=""),0,MIN(B7,B9)/B10*B11*(1-Reference!$B$2))</f>
        <v>61.721500000000006</v>
      </c>
      <c r="C19" s="5">
        <f>IF(OR(C7="",C10="",C10=0,C11=""),0,MIN(C7,C9)/C10*C11*(1-Reference!$B$2))</f>
        <v>0</v>
      </c>
      <c r="D19" s="5">
        <f>IF(OR(D7="",D10="",D10=0,D11=""),0,MIN(D7,D9)/D10*D11*(1-Reference!$B$2))</f>
        <v>431.29999999999995</v>
      </c>
      <c r="E19" s="5">
        <f>IF(OR(E7="",E10="",E10=0,E11=""),0,MIN(E7,E9)/E10*E11*(1-Reference!$B$2))</f>
        <v>0</v>
      </c>
      <c r="F19" s="5">
        <f>IF(OR(F7="",F10="",F10=0,F11=""),0,MIN(F7,F9)/F10*F11*(1-Reference!$B$2))</f>
        <v>0</v>
      </c>
      <c r="G19" s="5">
        <f>IF(OR(G7="",G10="",G10=0,G11=""),0,MIN(G7,G9)/G10*G11*(1-Reference!$B$2))</f>
        <v>0</v>
      </c>
    </row>
    <row r="20" spans="1:7" ht="15" customHeight="1" x14ac:dyDescent="0.2">
      <c r="A20" s="5" t="s">
        <v>56</v>
      </c>
      <c r="B20" s="5">
        <f t="shared" ref="B20:G20" si="3">IF(B13="Yes",IF(OR(B14="",B15=""),0,B14*B15),IF(OR(B7="",B10="",B10=0,B12=""),0,B18/B10*B12))</f>
        <v>0</v>
      </c>
      <c r="C20" s="5">
        <f t="shared" si="3"/>
        <v>2970</v>
      </c>
      <c r="D20" s="5">
        <f t="shared" si="3"/>
        <v>0</v>
      </c>
      <c r="E20" s="5">
        <f t="shared" si="3"/>
        <v>0</v>
      </c>
      <c r="F20" s="5">
        <f t="shared" si="3"/>
        <v>0</v>
      </c>
      <c r="G20" s="5">
        <f t="shared" si="3"/>
        <v>0</v>
      </c>
    </row>
    <row r="21" spans="1:7" ht="15" customHeight="1" x14ac:dyDescent="0.2">
      <c r="A21" s="5" t="s">
        <v>57</v>
      </c>
      <c r="B21" s="5">
        <f t="shared" ref="B21:G21" si="4">B19+B20</f>
        <v>61.721500000000006</v>
      </c>
      <c r="C21" s="5">
        <f t="shared" si="4"/>
        <v>2970</v>
      </c>
      <c r="D21" s="5">
        <f t="shared" si="4"/>
        <v>431.29999999999995</v>
      </c>
      <c r="E21" s="5">
        <f t="shared" si="4"/>
        <v>0</v>
      </c>
      <c r="F21" s="5">
        <f t="shared" si="4"/>
        <v>0</v>
      </c>
      <c r="G21" s="5">
        <f t="shared" si="4"/>
        <v>0</v>
      </c>
    </row>
    <row r="22" spans="1:7" ht="15" customHeight="1" x14ac:dyDescent="0.2">
      <c r="A22" s="5" t="s">
        <v>58</v>
      </c>
      <c r="B22" s="5">
        <f t="shared" ref="B22:G22" si="5">IF(B6="","",B21*B6)</f>
        <v>47.525555000000004</v>
      </c>
      <c r="C22" s="5">
        <f t="shared" si="5"/>
        <v>2673</v>
      </c>
      <c r="D22" s="5">
        <f t="shared" si="5"/>
        <v>332.101</v>
      </c>
      <c r="E22" s="5" t="str">
        <f t="shared" si="5"/>
        <v/>
      </c>
      <c r="F22" s="5" t="str">
        <f t="shared" si="5"/>
        <v/>
      </c>
      <c r="G22" s="5" t="str">
        <f t="shared" si="5"/>
        <v/>
      </c>
    </row>
    <row r="23" spans="1:7" ht="15" customHeight="1" x14ac:dyDescent="0.2">
      <c r="A23" s="5" t="s">
        <v>59</v>
      </c>
      <c r="B23" s="5">
        <f>IF(B22="","",B22*(1-Reference!$B$23))</f>
        <v>45.624532800000004</v>
      </c>
      <c r="C23" s="5">
        <f>IF(C22="","",C22*(1-Reference!$B$23))</f>
        <v>2566.08</v>
      </c>
      <c r="D23" s="5">
        <f>IF(D22="","",D22*(1-Reference!$B$23))</f>
        <v>318.81695999999999</v>
      </c>
      <c r="E23" s="5" t="str">
        <f>IF(E22="","",E22*(1-Reference!$B$23))</f>
        <v/>
      </c>
      <c r="F23" s="5" t="str">
        <f>IF(F22="","",F22*(1-Reference!$B$23))</f>
        <v/>
      </c>
      <c r="G23" s="5" t="str">
        <f>IF(G22="","",G22*(1-Reference!$B$23))</f>
        <v/>
      </c>
    </row>
    <row r="24" spans="1:7" ht="15" customHeight="1" x14ac:dyDescent="0.2">
      <c r="A24" s="5" t="s">
        <v>60</v>
      </c>
      <c r="B24" s="5">
        <f t="shared" ref="B24:G24" si="6">IF(B22="","",B22)</f>
        <v>47.525555000000004</v>
      </c>
      <c r="C24" s="5">
        <f t="shared" si="6"/>
        <v>2673</v>
      </c>
      <c r="D24" s="5">
        <f t="shared" si="6"/>
        <v>332.101</v>
      </c>
      <c r="E24" s="5" t="str">
        <f t="shared" si="6"/>
        <v/>
      </c>
      <c r="F24" s="5" t="str">
        <f t="shared" si="6"/>
        <v/>
      </c>
      <c r="G24" s="5" t="str">
        <f t="shared" si="6"/>
        <v/>
      </c>
    </row>
    <row r="25" spans="1:7" ht="15" customHeight="1" x14ac:dyDescent="0.2">
      <c r="A25" s="5" t="s">
        <v>61</v>
      </c>
      <c r="B25" s="5">
        <f>IF(B22="","",MIN(B23,B24)*Reference!$B$26)</f>
        <v>43.343306160000004</v>
      </c>
      <c r="C25" s="5">
        <f>IF(C22="","",MIN(C23,C24)*Reference!$B$26)</f>
        <v>2437.7759999999998</v>
      </c>
      <c r="D25" s="5">
        <f>IF(D22="","",MIN(D23,D24)*Reference!$B$26)</f>
        <v>302.87611199999998</v>
      </c>
      <c r="E25" s="5" t="str">
        <f>IF(E22="","",MIN(E23,E24)*Reference!$B$26)</f>
        <v/>
      </c>
      <c r="F25" s="5" t="str">
        <f>IF(F22="","",MIN(F23,F24)*Reference!$B$26)</f>
        <v/>
      </c>
      <c r="G25" s="5" t="str">
        <f>IF(G22="","",MIN(G23,G24)*Reference!$B$26)</f>
        <v/>
      </c>
    </row>
    <row r="26" spans="1:7" ht="15" customHeight="1" x14ac:dyDescent="0.2">
      <c r="A26" s="5" t="s">
        <v>62</v>
      </c>
      <c r="B26" s="6"/>
      <c r="C26" s="6"/>
      <c r="D26" s="6"/>
      <c r="E26" s="6"/>
      <c r="F26" s="6"/>
      <c r="G26" s="6"/>
    </row>
    <row r="27" spans="1:7" ht="15" customHeight="1" x14ac:dyDescent="0.2">
      <c r="A27" s="5" t="s">
        <v>63</v>
      </c>
      <c r="B27" s="6"/>
      <c r="C27" s="6"/>
      <c r="D27" s="6"/>
      <c r="E27" s="6"/>
      <c r="F27" s="6"/>
      <c r="G27" s="6"/>
    </row>
    <row r="28" spans="1:7" ht="15" customHeight="1" x14ac:dyDescent="0.2">
      <c r="A28" s="5" t="s">
        <v>64</v>
      </c>
      <c r="B28" s="5">
        <f>IF(OR(B26="",B27=""),0,B27*INDEX(Reference!$C$13:$C$16,MATCH(B26,Reference!$A$13:$A$16,0)))</f>
        <v>0</v>
      </c>
      <c r="C28" s="5">
        <f>IF(OR(C26="",C27=""),0,C27*INDEX(Reference!$C$13:$C$16,MATCH(C26,Reference!$A$13:$A$16,0)))</f>
        <v>0</v>
      </c>
      <c r="D28" s="5">
        <f>IF(OR(D26="",D27=""),0,D27*INDEX(Reference!$C$13:$C$16,MATCH(D26,Reference!$A$13:$A$16,0)))</f>
        <v>0</v>
      </c>
      <c r="E28" s="5">
        <f>IF(OR(E26="",E27=""),0,E27*INDEX(Reference!$C$13:$C$16,MATCH(E26,Reference!$A$13:$A$16,0)))</f>
        <v>0</v>
      </c>
      <c r="F28" s="5">
        <f>IF(OR(F26="",F27=""),0,F27*INDEX(Reference!$C$13:$C$16,MATCH(F26,Reference!$A$13:$A$16,0)))</f>
        <v>0</v>
      </c>
      <c r="G28" s="5">
        <f>IF(OR(G26="",G27=""),0,G27*INDEX(Reference!$C$13:$C$16,MATCH(G26,Reference!$A$13:$A$16,0)))</f>
        <v>0</v>
      </c>
    </row>
    <row r="29" spans="1:7" ht="15" customHeight="1" x14ac:dyDescent="0.2">
      <c r="A29" s="5" t="s">
        <v>65</v>
      </c>
      <c r="B29" s="6">
        <v>150</v>
      </c>
      <c r="C29" s="6">
        <v>80</v>
      </c>
      <c r="D29" s="6">
        <v>25</v>
      </c>
      <c r="E29" s="6"/>
      <c r="F29" s="6"/>
      <c r="G29" s="6"/>
    </row>
    <row r="30" spans="1:7" ht="15" customHeight="1" x14ac:dyDescent="0.2">
      <c r="A30" s="5" t="s">
        <v>66</v>
      </c>
      <c r="B30" s="6">
        <v>8</v>
      </c>
      <c r="C30" s="6">
        <v>10</v>
      </c>
      <c r="D30" s="6">
        <v>10</v>
      </c>
      <c r="E30" s="6"/>
      <c r="F30" s="6"/>
      <c r="G30" s="6"/>
    </row>
    <row r="31" spans="1:7" ht="15" customHeight="1" x14ac:dyDescent="0.2">
      <c r="A31" s="5" t="s">
        <v>67</v>
      </c>
      <c r="B31" s="5">
        <f>IF(OR(B29="",B30=""),0,B29/MIN(B30,Reference!$B$27))</f>
        <v>30</v>
      </c>
      <c r="C31" s="5">
        <f>IF(OR(C29="",C30=""),0,C29/MIN(C30,Reference!$B$27))</f>
        <v>16</v>
      </c>
      <c r="D31" s="5">
        <f>IF(OR(D29="",D30=""),0,D29/MIN(D30,Reference!$B$27))</f>
        <v>5</v>
      </c>
      <c r="E31" s="5">
        <f>IF(OR(E29="",E30=""),0,E29/MIN(E30,Reference!$B$27))</f>
        <v>0</v>
      </c>
      <c r="F31" s="5">
        <f>IF(OR(F29="",F30=""),0,F29/MIN(F30,Reference!$B$27))</f>
        <v>0</v>
      </c>
      <c r="G31" s="5">
        <f>IF(OR(G29="",G30=""),0,G29/MIN(G30,Reference!$B$27))</f>
        <v>0</v>
      </c>
    </row>
    <row r="32" spans="1:7" ht="15" customHeight="1" x14ac:dyDescent="0.2">
      <c r="A32" s="5" t="s">
        <v>68</v>
      </c>
      <c r="B32" s="5">
        <f t="shared" ref="B32:G32" si="7">IF(B25="","",B25-B28-B31)</f>
        <v>13.343306160000004</v>
      </c>
      <c r="C32" s="5">
        <f t="shared" si="7"/>
        <v>2421.7759999999998</v>
      </c>
      <c r="D32" s="5">
        <f t="shared" si="7"/>
        <v>297.87611199999998</v>
      </c>
      <c r="E32" s="5" t="str">
        <f t="shared" si="7"/>
        <v/>
      </c>
      <c r="F32" s="5" t="str">
        <f t="shared" si="7"/>
        <v/>
      </c>
      <c r="G32" s="5" t="str">
        <f t="shared" si="7"/>
        <v/>
      </c>
    </row>
    <row r="33" spans="1:7" ht="15" customHeight="1" x14ac:dyDescent="0.2">
      <c r="A33" s="5" t="s">
        <v>69</v>
      </c>
      <c r="B33" s="5">
        <f t="shared" ref="B33:G33" si="8">IF(B25="","",B24-B25)</f>
        <v>4.1822488399999997</v>
      </c>
      <c r="C33" s="5">
        <f t="shared" si="8"/>
        <v>235.22400000000016</v>
      </c>
      <c r="D33" s="5">
        <f t="shared" si="8"/>
        <v>29.224888000000021</v>
      </c>
      <c r="E33" s="5" t="str">
        <f t="shared" si="8"/>
        <v/>
      </c>
      <c r="F33" s="5" t="str">
        <f t="shared" si="8"/>
        <v/>
      </c>
      <c r="G33" s="5" t="str">
        <f t="shared" si="8"/>
        <v/>
      </c>
    </row>
    <row r="34" spans="1:7" ht="15" customHeight="1" x14ac:dyDescent="0.2">
      <c r="A34" s="3" t="s">
        <v>70</v>
      </c>
      <c r="B34" s="6">
        <v>40.6</v>
      </c>
      <c r="C34" s="6">
        <v>2285</v>
      </c>
      <c r="D34" s="6">
        <v>284</v>
      </c>
      <c r="E34" s="6"/>
      <c r="F34" s="6"/>
      <c r="G34" s="6"/>
    </row>
    <row r="35" spans="1:7" ht="15" customHeight="1" x14ac:dyDescent="0.2">
      <c r="A35" s="3" t="s">
        <v>71</v>
      </c>
      <c r="B35" s="3" t="str">
        <f t="shared" ref="B35:G35" si="9">IF(B34="","",IF(ROUND(B25,IF(B34&lt;100,1,0))=B34,"MATCH","CHECK"))</f>
        <v>CHECK</v>
      </c>
      <c r="C35" s="3" t="str">
        <f t="shared" si="9"/>
        <v>CHECK</v>
      </c>
      <c r="D35" s="3" t="str">
        <f t="shared" si="9"/>
        <v>CHECK</v>
      </c>
      <c r="E35" s="3" t="str">
        <f t="shared" si="9"/>
        <v/>
      </c>
      <c r="F35" s="3" t="str">
        <f t="shared" si="9"/>
        <v/>
      </c>
      <c r="G35" s="3" t="str">
        <f t="shared" si="9"/>
        <v/>
      </c>
    </row>
    <row r="37" spans="1:7" ht="15" customHeight="1" x14ac:dyDescent="0.2">
      <c r="A37" s="5" t="s">
        <v>72</v>
      </c>
      <c r="B37" s="6">
        <v>300</v>
      </c>
      <c r="C37" s="6">
        <v>30</v>
      </c>
      <c r="D37" s="6">
        <v>20</v>
      </c>
      <c r="E37" s="6"/>
      <c r="F37" s="6"/>
      <c r="G37" s="6"/>
    </row>
    <row r="38" spans="1:7" ht="15" customHeight="1" x14ac:dyDescent="0.2">
      <c r="A38" s="5" t="s">
        <v>73</v>
      </c>
      <c r="B38" s="6">
        <v>300</v>
      </c>
      <c r="C38" s="6">
        <v>30</v>
      </c>
      <c r="D38" s="6">
        <v>20</v>
      </c>
      <c r="E38" s="6"/>
      <c r="F38" s="6"/>
      <c r="G38" s="6"/>
    </row>
    <row r="39" spans="1:7" ht="15" customHeight="1" x14ac:dyDescent="0.2">
      <c r="A39" s="5" t="s">
        <v>74</v>
      </c>
      <c r="B39" s="6">
        <v>300</v>
      </c>
      <c r="C39" s="6">
        <v>30</v>
      </c>
      <c r="D39" s="6">
        <v>20</v>
      </c>
      <c r="E39" s="6"/>
      <c r="F39" s="6"/>
      <c r="G39" s="6"/>
    </row>
    <row r="40" spans="1:7" ht="15" customHeight="1" x14ac:dyDescent="0.2">
      <c r="A40" s="5" t="s">
        <v>75</v>
      </c>
      <c r="B40" s="6">
        <v>200</v>
      </c>
      <c r="C40" s="6">
        <v>30</v>
      </c>
      <c r="D40" s="6">
        <v>20</v>
      </c>
      <c r="E40" s="6"/>
      <c r="F40" s="6"/>
      <c r="G40" s="6"/>
    </row>
    <row r="41" spans="1:7" ht="15" customHeight="1" x14ac:dyDescent="0.2">
      <c r="A41" s="5" t="s">
        <v>76</v>
      </c>
      <c r="B41" s="6">
        <v>100</v>
      </c>
      <c r="C41" s="6">
        <v>30</v>
      </c>
      <c r="D41" s="6">
        <v>20</v>
      </c>
      <c r="E41" s="6"/>
      <c r="F41" s="6"/>
      <c r="G41" s="6"/>
    </row>
    <row r="43" spans="1:7" ht="42" customHeight="1" x14ac:dyDescent="0.2">
      <c r="A43" s="2" t="s">
        <v>77</v>
      </c>
    </row>
  </sheetData>
  <dataValidations count="4">
    <dataValidation type="list" allowBlank="1" sqref="B5:G5" xr:uid="{00000000-0002-0000-0200-000000000000}">
      <formula1>"Direct per-unit metering,Group or aggregate metering,Sampling-based monitoring,Metered displaced fuel (Track B)"</formula1>
      <formula2>0</formula2>
    </dataValidation>
    <dataValidation type="list" allowBlank="1" sqref="B4:G4" xr:uid="{00000000-0002-0000-0200-000001000000}">
      <formula1>"A,B,C-SD,C-AS"</formula1>
      <formula2>0</formula2>
    </dataValidation>
    <dataValidation type="list" allowBlank="1" sqref="B13:G13" xr:uid="{00000000-0002-0000-0200-000002000000}">
      <formula1>"Yes,No"</formula1>
      <formula2>0</formula2>
    </dataValidation>
    <dataValidation type="list" allowBlank="1" sqref="B26:G26" xr:uid="{00000000-0002-0000-0200-000003000000}">
      <formula1>"Petrol,Kerosene,Gas-diesel oil (diesel),LPG"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1"/>
  <sheetViews>
    <sheetView zoomScaleNormal="100" workbookViewId="0">
      <selection activeCell="D19" sqref="A1:XFD1048576"/>
    </sheetView>
  </sheetViews>
  <sheetFormatPr baseColWidth="10" defaultColWidth="8.6640625" defaultRowHeight="15" x14ac:dyDescent="0.2"/>
  <cols>
    <col min="3" max="3" width="30" customWidth="1"/>
    <col min="4" max="8" width="12" customWidth="1"/>
  </cols>
  <sheetData>
    <row r="1" spans="1:8" ht="15.75" customHeight="1" x14ac:dyDescent="0.2">
      <c r="A1" s="1" t="s">
        <v>78</v>
      </c>
    </row>
    <row r="2" spans="1:8" ht="15" customHeight="1" x14ac:dyDescent="0.2">
      <c r="A2" s="3" t="s">
        <v>79</v>
      </c>
      <c r="C2" s="3" t="s">
        <v>80</v>
      </c>
      <c r="D2" s="3">
        <v>1</v>
      </c>
      <c r="E2" s="3">
        <v>2</v>
      </c>
      <c r="F2" s="3">
        <v>3</v>
      </c>
      <c r="G2" s="3">
        <v>4</v>
      </c>
      <c r="H2" s="3">
        <v>5</v>
      </c>
    </row>
    <row r="3" spans="1:8" ht="15" customHeight="1" x14ac:dyDescent="0.2">
      <c r="A3" s="5">
        <v>1</v>
      </c>
      <c r="C3" s="3" t="s">
        <v>81</v>
      </c>
    </row>
    <row r="4" spans="1:8" ht="15" customHeight="1" x14ac:dyDescent="0.2">
      <c r="A4" s="5">
        <v>2</v>
      </c>
      <c r="C4" s="5" t="str">
        <f>IF(Measures!B$2="","",Measures!B$2)</f>
        <v>Solar home systems (households)</v>
      </c>
      <c r="D4" s="5">
        <f>IF(Measures!B$2="","",SUMPRODUCT(Measures!B$37:B$41,--(D$2-$A$3:$A$7&gt;=0),--(D$2-$A$3:$A$7&lt;IF(Measures!B$30="",999,Measures!B$30))))</f>
        <v>300</v>
      </c>
      <c r="E4" s="5">
        <f>IF(Measures!B$2="","",SUMPRODUCT(Measures!B$37:B$41,--(E$2-$A$3:$A$7&gt;=0),--(E$2-$A$3:$A$7&lt;IF(Measures!B$30="",999,Measures!B$30))))</f>
        <v>600</v>
      </c>
      <c r="F4" s="5">
        <f>IF(Measures!B$2="","",SUMPRODUCT(Measures!B$37:B$41,--(F$2-$A$3:$A$7&gt;=0),--(F$2-$A$3:$A$7&lt;IF(Measures!B$30="",999,Measures!B$30))))</f>
        <v>900</v>
      </c>
      <c r="G4" s="5">
        <f>IF(Measures!B$2="","",SUMPRODUCT(Measures!B$37:B$41,--(G$2-$A$3:$A$7&gt;=0),--(G$2-$A$3:$A$7&lt;IF(Measures!B$30="",999,Measures!B$30))))</f>
        <v>1100</v>
      </c>
      <c r="H4" s="5">
        <f>IF(Measures!B$2="","",SUMPRODUCT(Measures!B$37:B$41,--(H$2-$A$3:$A$7&gt;=0),--(H$2-$A$3:$A$7&lt;IF(Measures!B$30="",999,Measures!B$30))))</f>
        <v>1200</v>
      </c>
    </row>
    <row r="5" spans="1:8" ht="15" customHeight="1" x14ac:dyDescent="0.2">
      <c r="A5" s="5">
        <v>3</v>
      </c>
      <c r="C5" s="5" t="str">
        <f>IF(Measures!C$2="","",Measures!C$2)</f>
        <v>Solar irrigation pumps (farmers)</v>
      </c>
      <c r="D5" s="5">
        <f>IF(Measures!C$2="","",SUMPRODUCT(Measures!C$37:C$41,--(D$2-$A$3:$A$7&gt;=0),--(D$2-$A$3:$A$7&lt;IF(Measures!C$30="",999,Measures!C$30))))</f>
        <v>30</v>
      </c>
      <c r="E5" s="5">
        <f>IF(Measures!C$2="","",SUMPRODUCT(Measures!C$37:C$41,--(E$2-$A$3:$A$7&gt;=0),--(E$2-$A$3:$A$7&lt;IF(Measures!C$30="",999,Measures!C$30))))</f>
        <v>60</v>
      </c>
      <c r="F5" s="5">
        <f>IF(Measures!C$2="","",SUMPRODUCT(Measures!C$37:C$41,--(F$2-$A$3:$A$7&gt;=0),--(F$2-$A$3:$A$7&lt;IF(Measures!C$30="",999,Measures!C$30))))</f>
        <v>90</v>
      </c>
      <c r="G5" s="5">
        <f>IF(Measures!C$2="","",SUMPRODUCT(Measures!C$37:C$41,--(G$2-$A$3:$A$7&gt;=0),--(G$2-$A$3:$A$7&lt;IF(Measures!C$30="",999,Measures!C$30))))</f>
        <v>120</v>
      </c>
      <c r="H5" s="5">
        <f>IF(Measures!C$2="","",SUMPRODUCT(Measures!C$37:C$41,--(H$2-$A$3:$A$7&gt;=0),--(H$2-$A$3:$A$7&lt;IF(Measures!C$30="",999,Measures!C$30))))</f>
        <v>150</v>
      </c>
    </row>
    <row r="6" spans="1:8" ht="15" customHeight="1" x14ac:dyDescent="0.2">
      <c r="A6" s="5">
        <v>4</v>
      </c>
      <c r="C6" s="5" t="str">
        <f>IF(Measures!D$2="","",Measures!D$2)</f>
        <v>Solar dryers (enterprises)</v>
      </c>
      <c r="D6" s="5">
        <f>IF(Measures!D$2="","",SUMPRODUCT(Measures!D$37:D$41,--(D$2-$A$3:$A$7&gt;=0),--(D$2-$A$3:$A$7&lt;IF(Measures!D$30="",999,Measures!D$30))))</f>
        <v>20</v>
      </c>
      <c r="E6" s="5">
        <f>IF(Measures!D$2="","",SUMPRODUCT(Measures!D$37:D$41,--(E$2-$A$3:$A$7&gt;=0),--(E$2-$A$3:$A$7&lt;IF(Measures!D$30="",999,Measures!D$30))))</f>
        <v>40</v>
      </c>
      <c r="F6" s="5">
        <f>IF(Measures!D$2="","",SUMPRODUCT(Measures!D$37:D$41,--(F$2-$A$3:$A$7&gt;=0),--(F$2-$A$3:$A$7&lt;IF(Measures!D$30="",999,Measures!D$30))))</f>
        <v>60</v>
      </c>
      <c r="G6" s="5">
        <f>IF(Measures!D$2="","",SUMPRODUCT(Measures!D$37:D$41,--(G$2-$A$3:$A$7&gt;=0),--(G$2-$A$3:$A$7&lt;IF(Measures!D$30="",999,Measures!D$30))))</f>
        <v>80</v>
      </c>
      <c r="H6" s="5">
        <f>IF(Measures!D$2="","",SUMPRODUCT(Measures!D$37:D$41,--(H$2-$A$3:$A$7&gt;=0),--(H$2-$A$3:$A$7&lt;IF(Measures!D$30="",999,Measures!D$30))))</f>
        <v>100</v>
      </c>
    </row>
    <row r="7" spans="1:8" ht="15" customHeight="1" x14ac:dyDescent="0.2">
      <c r="A7" s="5">
        <v>5</v>
      </c>
      <c r="C7" s="5" t="str">
        <f>IF(Measures!E$2="","",Measures!E$2)</f>
        <v/>
      </c>
      <c r="D7" s="5" t="str">
        <f>IF(Measures!E$2="","",SUMPRODUCT(Measures!E$37:E$41,--(D$2-$A$3:$A$7&gt;=0),--(D$2-$A$3:$A$7&lt;IF(Measures!E$30="",999,Measures!E$30))))</f>
        <v/>
      </c>
      <c r="E7" s="5" t="str">
        <f>IF(Measures!E$2="","",SUMPRODUCT(Measures!E$37:E$41,--(E$2-$A$3:$A$7&gt;=0),--(E$2-$A$3:$A$7&lt;IF(Measures!E$30="",999,Measures!E$30))))</f>
        <v/>
      </c>
      <c r="F7" s="5" t="str">
        <f>IF(Measures!E$2="","",SUMPRODUCT(Measures!E$37:E$41,--(F$2-$A$3:$A$7&gt;=0),--(F$2-$A$3:$A$7&lt;IF(Measures!E$30="",999,Measures!E$30))))</f>
        <v/>
      </c>
      <c r="G7" s="5" t="str">
        <f>IF(Measures!E$2="","",SUMPRODUCT(Measures!E$37:E$41,--(G$2-$A$3:$A$7&gt;=0),--(G$2-$A$3:$A$7&lt;IF(Measures!E$30="",999,Measures!E$30))))</f>
        <v/>
      </c>
      <c r="H7" s="5" t="str">
        <f>IF(Measures!E$2="","",SUMPRODUCT(Measures!E$37:E$41,--(H$2-$A$3:$A$7&gt;=0),--(H$2-$A$3:$A$7&lt;IF(Measures!E$30="",999,Measures!E$30))))</f>
        <v/>
      </c>
    </row>
    <row r="8" spans="1:8" ht="15" customHeight="1" x14ac:dyDescent="0.2">
      <c r="C8" s="5" t="str">
        <f>IF(Measures!F$2="","",Measures!F$2)</f>
        <v/>
      </c>
      <c r="D8" s="5" t="str">
        <f>IF(Measures!F$2="","",SUMPRODUCT(Measures!F$37:F$41,--(D$2-$A$3:$A$7&gt;=0),--(D$2-$A$3:$A$7&lt;IF(Measures!F$30="",999,Measures!F$30))))</f>
        <v/>
      </c>
      <c r="E8" s="5" t="str">
        <f>IF(Measures!F$2="","",SUMPRODUCT(Measures!F$37:F$41,--(E$2-$A$3:$A$7&gt;=0),--(E$2-$A$3:$A$7&lt;IF(Measures!F$30="",999,Measures!F$30))))</f>
        <v/>
      </c>
      <c r="F8" s="5" t="str">
        <f>IF(Measures!F$2="","",SUMPRODUCT(Measures!F$37:F$41,--(F$2-$A$3:$A$7&gt;=0),--(F$2-$A$3:$A$7&lt;IF(Measures!F$30="",999,Measures!F$30))))</f>
        <v/>
      </c>
      <c r="G8" s="5" t="str">
        <f>IF(Measures!F$2="","",SUMPRODUCT(Measures!F$37:F$41,--(G$2-$A$3:$A$7&gt;=0),--(G$2-$A$3:$A$7&lt;IF(Measures!F$30="",999,Measures!F$30))))</f>
        <v/>
      </c>
      <c r="H8" s="5" t="str">
        <f>IF(Measures!F$2="","",SUMPRODUCT(Measures!F$37:F$41,--(H$2-$A$3:$A$7&gt;=0),--(H$2-$A$3:$A$7&lt;IF(Measures!F$30="",999,Measures!F$30))))</f>
        <v/>
      </c>
    </row>
    <row r="9" spans="1:8" ht="15" customHeight="1" x14ac:dyDescent="0.2">
      <c r="C9" s="5" t="str">
        <f>IF(Measures!G$2="","",Measures!G$2)</f>
        <v/>
      </c>
      <c r="D9" s="5" t="str">
        <f>IF(Measures!G$2="","",SUMPRODUCT(Measures!G$37:G$41,--(D$2-$A$3:$A$7&gt;=0),--(D$2-$A$3:$A$7&lt;IF(Measures!G$30="",999,Measures!G$30))))</f>
        <v/>
      </c>
      <c r="E9" s="5" t="str">
        <f>IF(Measures!G$2="","",SUMPRODUCT(Measures!G$37:G$41,--(E$2-$A$3:$A$7&gt;=0),--(E$2-$A$3:$A$7&lt;IF(Measures!G$30="",999,Measures!G$30))))</f>
        <v/>
      </c>
      <c r="F9" s="5" t="str">
        <f>IF(Measures!G$2="","",SUMPRODUCT(Measures!G$37:G$41,--(F$2-$A$3:$A$7&gt;=0),--(F$2-$A$3:$A$7&lt;IF(Measures!G$30="",999,Measures!G$30))))</f>
        <v/>
      </c>
      <c r="G9" s="5" t="str">
        <f>IF(Measures!G$2="","",SUMPRODUCT(Measures!G$37:G$41,--(G$2-$A$3:$A$7&gt;=0),--(G$2-$A$3:$A$7&lt;IF(Measures!G$30="",999,Measures!G$30))))</f>
        <v/>
      </c>
      <c r="H9" s="5" t="str">
        <f>IF(Measures!G$2="","",SUMPRODUCT(Measures!G$37:G$41,--(H$2-$A$3:$A$7&gt;=0),--(H$2-$A$3:$A$7&lt;IF(Measures!G$30="",999,Measures!G$30))))</f>
        <v/>
      </c>
    </row>
    <row r="11" spans="1:8" ht="15" customHeight="1" x14ac:dyDescent="0.2">
      <c r="C11" s="3" t="s">
        <v>82</v>
      </c>
    </row>
    <row r="12" spans="1:8" ht="15" customHeight="1" x14ac:dyDescent="0.2">
      <c r="C12" s="5" t="str">
        <f>IF(Measures!B$2="","",Measures!B$2)</f>
        <v>Solar home systems (households)</v>
      </c>
      <c r="D12" s="5">
        <f>IF(Measures!B$2="","",D4*Measures!B$32/1000)</f>
        <v>4.0029918480000015</v>
      </c>
      <c r="E12" s="5">
        <f>IF(Measures!B$2="","",E4*Measures!B$32/1000)</f>
        <v>8.005983696000003</v>
      </c>
      <c r="F12" s="5">
        <f>IF(Measures!B$2="","",F4*Measures!B$32/1000)</f>
        <v>12.008975544000004</v>
      </c>
      <c r="G12" s="5">
        <f>IF(Measures!B$2="","",G4*Measures!B$32/1000)</f>
        <v>14.677636776000005</v>
      </c>
      <c r="H12" s="5">
        <f>IF(Measures!B$2="","",H4*Measures!B$32/1000)</f>
        <v>16.011967392000006</v>
      </c>
    </row>
    <row r="13" spans="1:8" ht="15" customHeight="1" x14ac:dyDescent="0.2">
      <c r="C13" s="5" t="str">
        <f>IF(Measures!C$2="","",Measures!C$2)</f>
        <v>Solar irrigation pumps (farmers)</v>
      </c>
      <c r="D13" s="5">
        <f>IF(Measures!C$2="","",D5*Measures!C$32/1000)</f>
        <v>72.653279999999995</v>
      </c>
      <c r="E13" s="5">
        <f>IF(Measures!C$2="","",E5*Measures!C$32/1000)</f>
        <v>145.30655999999999</v>
      </c>
      <c r="F13" s="5">
        <f>IF(Measures!C$2="","",F5*Measures!C$32/1000)</f>
        <v>217.95983999999999</v>
      </c>
      <c r="G13" s="5">
        <f>IF(Measures!C$2="","",G5*Measures!C$32/1000)</f>
        <v>290.61311999999998</v>
      </c>
      <c r="H13" s="5">
        <f>IF(Measures!C$2="","",H5*Measures!C$32/1000)</f>
        <v>363.26639999999998</v>
      </c>
    </row>
    <row r="14" spans="1:8" ht="15" customHeight="1" x14ac:dyDescent="0.2">
      <c r="C14" s="5" t="str">
        <f>IF(Measures!D$2="","",Measures!D$2)</f>
        <v>Solar dryers (enterprises)</v>
      </c>
      <c r="D14" s="5">
        <f>IF(Measures!D$2="","",D6*Measures!D$32/1000)</f>
        <v>5.9575222399999994</v>
      </c>
      <c r="E14" s="5">
        <f>IF(Measures!D$2="","",E6*Measures!D$32/1000)</f>
        <v>11.915044479999999</v>
      </c>
      <c r="F14" s="5">
        <f>IF(Measures!D$2="","",F6*Measures!D$32/1000)</f>
        <v>17.872566719999998</v>
      </c>
      <c r="G14" s="5">
        <f>IF(Measures!D$2="","",G6*Measures!D$32/1000)</f>
        <v>23.830088959999998</v>
      </c>
      <c r="H14" s="5">
        <f>IF(Measures!D$2="","",H6*Measures!D$32/1000)</f>
        <v>29.787611200000001</v>
      </c>
    </row>
    <row r="15" spans="1:8" ht="15" customHeight="1" x14ac:dyDescent="0.2">
      <c r="C15" s="5" t="str">
        <f>IF(Measures!E$2="","",Measures!E$2)</f>
        <v/>
      </c>
      <c r="D15" s="5" t="str">
        <f>IF(Measures!E$2="","",D7*Measures!E$32/1000)</f>
        <v/>
      </c>
      <c r="E15" s="5" t="str">
        <f>IF(Measures!E$2="","",E7*Measures!E$32/1000)</f>
        <v/>
      </c>
      <c r="F15" s="5" t="str">
        <f>IF(Measures!E$2="","",F7*Measures!E$32/1000)</f>
        <v/>
      </c>
      <c r="G15" s="5" t="str">
        <f>IF(Measures!E$2="","",G7*Measures!E$32/1000)</f>
        <v/>
      </c>
      <c r="H15" s="5" t="str">
        <f>IF(Measures!E$2="","",H7*Measures!E$32/1000)</f>
        <v/>
      </c>
    </row>
    <row r="16" spans="1:8" ht="15" customHeight="1" x14ac:dyDescent="0.2">
      <c r="C16" s="5" t="str">
        <f>IF(Measures!F$2="","",Measures!F$2)</f>
        <v/>
      </c>
      <c r="D16" s="5" t="str">
        <f>IF(Measures!F$2="","",D8*Measures!F$32/1000)</f>
        <v/>
      </c>
      <c r="E16" s="5" t="str">
        <f>IF(Measures!F$2="","",E8*Measures!F$32/1000)</f>
        <v/>
      </c>
      <c r="F16" s="5" t="str">
        <f>IF(Measures!F$2="","",F8*Measures!F$32/1000)</f>
        <v/>
      </c>
      <c r="G16" s="5" t="str">
        <f>IF(Measures!F$2="","",G8*Measures!F$32/1000)</f>
        <v/>
      </c>
      <c r="H16" s="5" t="str">
        <f>IF(Measures!F$2="","",H8*Measures!F$32/1000)</f>
        <v/>
      </c>
    </row>
    <row r="17" spans="3:8" ht="15" customHeight="1" x14ac:dyDescent="0.2">
      <c r="C17" s="5" t="str">
        <f>IF(Measures!G$2="","",Measures!G$2)</f>
        <v/>
      </c>
      <c r="D17" s="5" t="str">
        <f>IF(Measures!G$2="","",D9*Measures!G$32/1000)</f>
        <v/>
      </c>
      <c r="E17" s="5" t="str">
        <f>IF(Measures!G$2="","",E9*Measures!G$32/1000)</f>
        <v/>
      </c>
      <c r="F17" s="5" t="str">
        <f>IF(Measures!G$2="","",F9*Measures!G$32/1000)</f>
        <v/>
      </c>
      <c r="G17" s="5" t="str">
        <f>IF(Measures!G$2="","",G9*Measures!G$32/1000)</f>
        <v/>
      </c>
      <c r="H17" s="5" t="str">
        <f>IF(Measures!G$2="","",H9*Measures!G$32/1000)</f>
        <v/>
      </c>
    </row>
    <row r="18" spans="3:8" ht="15" customHeight="1" x14ac:dyDescent="0.2">
      <c r="C18" s="3" t="s">
        <v>83</v>
      </c>
      <c r="D18" s="3">
        <f>SUM(D12:D17)</f>
        <v>82.613794088000006</v>
      </c>
      <c r="E18" s="3">
        <f>SUM(E12:E17)</f>
        <v>165.22758817600001</v>
      </c>
      <c r="F18" s="3">
        <f>SUM(F12:F17)</f>
        <v>247.841382264</v>
      </c>
      <c r="G18" s="3">
        <f>SUM(G12:G17)</f>
        <v>329.12084573599998</v>
      </c>
      <c r="H18" s="3">
        <f>SUM(H12:H17)</f>
        <v>409.06597859200002</v>
      </c>
    </row>
    <row r="19" spans="3:8" ht="15" customHeight="1" x14ac:dyDescent="0.2">
      <c r="C19" s="3" t="s">
        <v>84</v>
      </c>
      <c r="D19" s="5">
        <f>D18</f>
        <v>82.613794088000006</v>
      </c>
      <c r="E19" s="5">
        <f>D19+E18</f>
        <v>247.841382264</v>
      </c>
      <c r="F19" s="5">
        <f>E19+F18</f>
        <v>495.68276452800001</v>
      </c>
      <c r="G19" s="5">
        <f>F19+G18</f>
        <v>824.80361026399999</v>
      </c>
      <c r="H19" s="5">
        <f>G19+H18</f>
        <v>1233.8695888560001</v>
      </c>
    </row>
    <row r="20" spans="3:8" ht="15" customHeight="1" x14ac:dyDescent="0.2">
      <c r="C20" s="3" t="s">
        <v>85</v>
      </c>
      <c r="D20" s="5">
        <f>IF(Measures!B$2="",0,D4*Measures!B$33/1000)+IF(Measures!C$2="",0,D5*Measures!C$33/1000)+IF(Measures!D$2="",0,D6*Measures!D$33/1000)+IF(Measures!E$2="",0,D7*Measures!E$33/1000)+IF(Measures!F$2="",0,D8*Measures!F$33/1000)+IF(Measures!G$2="",0,D9*Measures!G$33/1000)</f>
        <v>8.8958924120000038</v>
      </c>
      <c r="E20" s="5">
        <f>IF(Measures!B$2="",0,E4*Measures!B$33/1000)+IF(Measures!C$2="",0,E5*Measures!C$33/1000)+IF(Measures!D$2="",0,E6*Measures!D$33/1000)+IF(Measures!E$2="",0,E7*Measures!E$33/1000)+IF(Measures!F$2="",0,E8*Measures!F$33/1000)+IF(Measures!G$2="",0,E9*Measures!G$33/1000)</f>
        <v>17.791784824000008</v>
      </c>
      <c r="F20" s="5">
        <f>IF(Measures!B$2="",0,F4*Measures!B$33/1000)+IF(Measures!C$2="",0,F5*Measures!C$33/1000)+IF(Measures!D$2="",0,F6*Measures!D$33/1000)+IF(Measures!E$2="",0,F7*Measures!E$33/1000)+IF(Measures!F$2="",0,F8*Measures!F$33/1000)+IF(Measures!G$2="",0,F9*Measures!G$33/1000)</f>
        <v>26.687677236000013</v>
      </c>
      <c r="G20" s="5">
        <f>IF(Measures!B$2="",0,G4*Measures!B$33/1000)+IF(Measures!C$2="",0,G5*Measures!C$33/1000)+IF(Measures!D$2="",0,G6*Measures!D$33/1000)+IF(Measures!E$2="",0,G7*Measures!E$33/1000)+IF(Measures!F$2="",0,G8*Measures!F$33/1000)+IF(Measures!G$2="",0,G9*Measures!G$33/1000)</f>
        <v>35.165344764000018</v>
      </c>
      <c r="H20" s="5">
        <f>IF(Measures!B$2="",0,H4*Measures!B$33/1000)+IF(Measures!C$2="",0,H5*Measures!C$33/1000)+IF(Measures!D$2="",0,H6*Measures!D$33/1000)+IF(Measures!E$2="",0,H7*Measures!E$33/1000)+IF(Measures!F$2="",0,H8*Measures!F$33/1000)+IF(Measures!G$2="",0,H9*Measures!G$33/1000)</f>
        <v>43.224787408000026</v>
      </c>
    </row>
    <row r="21" spans="3:8" ht="15" customHeight="1" x14ac:dyDescent="0.2">
      <c r="C21" s="3" t="s">
        <v>86</v>
      </c>
      <c r="D21" s="5" t="str">
        <f>IF(D18&lt;=Reference!$B$19,"micro",IF(D18&lt;=Reference!$B$20,"small","EXCEEDS"))</f>
        <v>micro</v>
      </c>
      <c r="E21" s="5" t="str">
        <f>IF(E18&lt;=Reference!$B$19,"micro",IF(E18&lt;=Reference!$B$20,"small","EXCEEDS"))</f>
        <v>micro</v>
      </c>
      <c r="F21" s="5" t="str">
        <f>IF(F18&lt;=Reference!$B$19,"micro",IF(F18&lt;=Reference!$B$20,"small","EXCEEDS"))</f>
        <v>micro</v>
      </c>
      <c r="G21" s="5" t="str">
        <f>IF(G18&lt;=Reference!$B$19,"micro",IF(G18&lt;=Reference!$B$20,"small","EXCEEDS"))</f>
        <v>micro</v>
      </c>
      <c r="H21" s="5" t="str">
        <f>IF(H18&lt;=Reference!$B$19,"micro",IF(H18&lt;=Reference!$B$20,"small","EXCEEDS"))</f>
        <v>micro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"/>
  <sheetViews>
    <sheetView topLeftCell="A18" zoomScaleNormal="100" workbookViewId="0">
      <selection activeCell="B16" sqref="B16"/>
    </sheetView>
  </sheetViews>
  <sheetFormatPr baseColWidth="10" defaultColWidth="8.6640625" defaultRowHeight="15" x14ac:dyDescent="0.2"/>
  <cols>
    <col min="1" max="1" width="60" customWidth="1"/>
    <col min="2" max="6" width="12" customWidth="1"/>
  </cols>
  <sheetData>
    <row r="1" spans="1:6" ht="15.75" customHeight="1" x14ac:dyDescent="0.2">
      <c r="A1" s="1" t="s">
        <v>87</v>
      </c>
    </row>
    <row r="3" spans="1:6" ht="15" customHeight="1" x14ac:dyDescent="0.2">
      <c r="A3" s="3" t="s">
        <v>88</v>
      </c>
    </row>
    <row r="4" spans="1:6" ht="15" customHeight="1" x14ac:dyDescent="0.2">
      <c r="A4" s="3" t="s">
        <v>89</v>
      </c>
      <c r="B4" s="3" t="s">
        <v>90</v>
      </c>
      <c r="C4" s="3" t="s">
        <v>91</v>
      </c>
      <c r="D4" s="3" t="s">
        <v>92</v>
      </c>
      <c r="E4" s="3" t="s">
        <v>93</v>
      </c>
      <c r="F4" s="3" t="s">
        <v>94</v>
      </c>
    </row>
    <row r="5" spans="1:6" ht="15" customHeight="1" x14ac:dyDescent="0.2">
      <c r="A5" s="5" t="str">
        <f>IF(Cal!C12="","",Cal!C12)</f>
        <v>Solar home systems (households)</v>
      </c>
      <c r="B5" s="9">
        <f>IF(Cal!C12="","",Cal!D12)</f>
        <v>4.0029918480000015</v>
      </c>
      <c r="C5" s="9">
        <f>IF(Cal!C12="","",Cal!E12)</f>
        <v>8.005983696000003</v>
      </c>
      <c r="D5" s="9">
        <f>IF(Cal!C12="","",Cal!F12)</f>
        <v>12.008975544000004</v>
      </c>
      <c r="E5" s="9">
        <f>IF(Cal!C12="","",Cal!G12)</f>
        <v>14.677636776000005</v>
      </c>
      <c r="F5" s="9">
        <f>IF(Cal!C12="","",Cal!H12)</f>
        <v>16.011967392000006</v>
      </c>
    </row>
    <row r="6" spans="1:6" ht="15" customHeight="1" x14ac:dyDescent="0.2">
      <c r="A6" s="5" t="str">
        <f>IF(Cal!C13="","",Cal!C13)</f>
        <v>Solar irrigation pumps (farmers)</v>
      </c>
      <c r="B6" s="9">
        <f>IF(Cal!C13="","",Cal!D13)</f>
        <v>72.653279999999995</v>
      </c>
      <c r="C6" s="9">
        <f>IF(Cal!C13="","",Cal!E13)</f>
        <v>145.30655999999999</v>
      </c>
      <c r="D6" s="9">
        <f>IF(Cal!C13="","",Cal!F13)</f>
        <v>217.95983999999999</v>
      </c>
      <c r="E6" s="9">
        <f>IF(Cal!C13="","",Cal!G13)</f>
        <v>290.61311999999998</v>
      </c>
      <c r="F6" s="9">
        <f>IF(Cal!C13="","",Cal!H13)</f>
        <v>363.26639999999998</v>
      </c>
    </row>
    <row r="7" spans="1:6" ht="15" customHeight="1" x14ac:dyDescent="0.2">
      <c r="A7" s="5" t="str">
        <f>IF(Cal!C14="","",Cal!C14)</f>
        <v>Solar dryers (enterprises)</v>
      </c>
      <c r="B7" s="9">
        <f>IF(Cal!C14="","",Cal!D14)</f>
        <v>5.9575222399999994</v>
      </c>
      <c r="C7" s="9">
        <f>IF(Cal!C14="","",Cal!E14)</f>
        <v>11.915044479999999</v>
      </c>
      <c r="D7" s="9">
        <f>IF(Cal!C14="","",Cal!F14)</f>
        <v>17.872566719999998</v>
      </c>
      <c r="E7" s="9">
        <f>IF(Cal!C14="","",Cal!G14)</f>
        <v>23.830088959999998</v>
      </c>
      <c r="F7" s="9">
        <f>IF(Cal!C14="","",Cal!H14)</f>
        <v>29.787611200000001</v>
      </c>
    </row>
    <row r="8" spans="1:6" ht="15" customHeight="1" x14ac:dyDescent="0.2">
      <c r="A8" s="5" t="str">
        <f>IF(Cal!C15="","",Cal!C15)</f>
        <v/>
      </c>
      <c r="B8" s="5" t="str">
        <f>IF(Cal!C15="","",Cal!D15)</f>
        <v/>
      </c>
      <c r="C8" s="5" t="str">
        <f>IF(Cal!C15="","",Cal!E15)</f>
        <v/>
      </c>
      <c r="D8" s="5" t="str">
        <f>IF(Cal!C15="","",Cal!F15)</f>
        <v/>
      </c>
      <c r="E8" s="5" t="str">
        <f>IF(Cal!C15="","",Cal!G15)</f>
        <v/>
      </c>
      <c r="F8" s="5" t="str">
        <f>IF(Cal!C15="","",Cal!H15)</f>
        <v/>
      </c>
    </row>
    <row r="9" spans="1:6" ht="15" customHeight="1" x14ac:dyDescent="0.2">
      <c r="A9" s="5" t="str">
        <f>IF(Cal!C16="","",Cal!C16)</f>
        <v/>
      </c>
      <c r="B9" s="5" t="str">
        <f>IF(Cal!C16="","",Cal!D16)</f>
        <v/>
      </c>
      <c r="C9" s="5" t="str">
        <f>IF(Cal!C16="","",Cal!E16)</f>
        <v/>
      </c>
      <c r="D9" s="5" t="str">
        <f>IF(Cal!C16="","",Cal!F16)</f>
        <v/>
      </c>
      <c r="E9" s="5" t="str">
        <f>IF(Cal!C16="","",Cal!G16)</f>
        <v/>
      </c>
      <c r="F9" s="5" t="str">
        <f>IF(Cal!C16="","",Cal!H16)</f>
        <v/>
      </c>
    </row>
    <row r="10" spans="1:6" ht="15" customHeight="1" x14ac:dyDescent="0.2">
      <c r="A10" s="5" t="str">
        <f>IF(Cal!C17="","",Cal!C17)</f>
        <v/>
      </c>
      <c r="B10" s="5" t="str">
        <f>IF(Cal!C17="","",Cal!D17)</f>
        <v/>
      </c>
      <c r="C10" s="5" t="str">
        <f>IF(Cal!C17="","",Cal!E17)</f>
        <v/>
      </c>
      <c r="D10" s="5" t="str">
        <f>IF(Cal!C17="","",Cal!F17)</f>
        <v/>
      </c>
      <c r="E10" s="5" t="str">
        <f>IF(Cal!C17="","",Cal!G17)</f>
        <v/>
      </c>
      <c r="F10" s="5" t="str">
        <f>IF(Cal!C17="","",Cal!H17)</f>
        <v/>
      </c>
    </row>
    <row r="11" spans="1:6" ht="15" customHeight="1" x14ac:dyDescent="0.2">
      <c r="A11" s="3" t="s">
        <v>95</v>
      </c>
      <c r="B11" s="10">
        <f>Cal!D18</f>
        <v>82.613794088000006</v>
      </c>
      <c r="C11" s="10">
        <f>Cal!E18</f>
        <v>165.22758817600001</v>
      </c>
      <c r="D11" s="10">
        <f>Cal!F18</f>
        <v>247.841382264</v>
      </c>
      <c r="E11" s="10">
        <f>Cal!G18</f>
        <v>329.12084573599998</v>
      </c>
      <c r="F11" s="10">
        <f>Cal!H18</f>
        <v>409.06597859200002</v>
      </c>
    </row>
    <row r="12" spans="1:6" ht="15" customHeight="1" x14ac:dyDescent="0.2">
      <c r="A12" s="3" t="s">
        <v>96</v>
      </c>
      <c r="B12" s="9">
        <f>Cal!D19</f>
        <v>82.613794088000006</v>
      </c>
      <c r="C12" s="9">
        <f>Cal!E19</f>
        <v>247.841382264</v>
      </c>
      <c r="D12" s="9">
        <f>Cal!F19</f>
        <v>495.68276452800001</v>
      </c>
      <c r="E12" s="9">
        <f>Cal!G19</f>
        <v>824.80361026399999</v>
      </c>
      <c r="F12" s="9">
        <f>Cal!H19</f>
        <v>1233.8695888560001</v>
      </c>
    </row>
    <row r="13" spans="1:6" ht="15" customHeight="1" x14ac:dyDescent="0.2">
      <c r="A13" s="5" t="s">
        <v>97</v>
      </c>
      <c r="B13" s="9">
        <f>Cal!D20</f>
        <v>8.8958924120000038</v>
      </c>
      <c r="C13" s="9">
        <f>Cal!E20</f>
        <v>17.791784824000008</v>
      </c>
      <c r="D13" s="9">
        <f>Cal!F20</f>
        <v>26.687677236000013</v>
      </c>
      <c r="E13" s="9">
        <f>Cal!G20</f>
        <v>35.165344764000018</v>
      </c>
      <c r="F13" s="9">
        <f>Cal!H20</f>
        <v>43.224787408000026</v>
      </c>
    </row>
    <row r="14" spans="1:6" ht="15" customHeight="1" x14ac:dyDescent="0.2">
      <c r="A14" s="5" t="s">
        <v>98</v>
      </c>
      <c r="B14" s="5" t="str">
        <f>Cal!D21</f>
        <v>micro</v>
      </c>
      <c r="C14" s="5" t="str">
        <f>Cal!E21</f>
        <v>micro</v>
      </c>
      <c r="D14" s="5" t="str">
        <f>Cal!F21</f>
        <v>micro</v>
      </c>
      <c r="E14" s="5" t="str">
        <f>Cal!G21</f>
        <v>micro</v>
      </c>
      <c r="F14" s="5" t="str">
        <f>Cal!H21</f>
        <v>micro</v>
      </c>
    </row>
    <row r="16" spans="1:6" ht="15" customHeight="1" x14ac:dyDescent="0.2">
      <c r="A16" s="3" t="s">
        <v>99</v>
      </c>
      <c r="B16" s="10">
        <f>F12</f>
        <v>1233.8695888560001</v>
      </c>
    </row>
    <row r="17" spans="1:1" ht="42" customHeight="1" x14ac:dyDescent="0.2">
      <c r="A17" s="2" t="s">
        <v>100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8"/>
  <sheetViews>
    <sheetView topLeftCell="A13" zoomScaleNormal="100" workbookViewId="0">
      <selection activeCell="A28" sqref="A28"/>
    </sheetView>
  </sheetViews>
  <sheetFormatPr baseColWidth="10" defaultColWidth="8.6640625" defaultRowHeight="15" x14ac:dyDescent="0.2"/>
  <cols>
    <col min="1" max="1" width="46" customWidth="1"/>
    <col min="2" max="5" width="14" customWidth="1"/>
  </cols>
  <sheetData>
    <row r="1" spans="1:5" ht="15" customHeight="1" x14ac:dyDescent="0.2">
      <c r="A1" s="3" t="s">
        <v>101</v>
      </c>
    </row>
    <row r="3" spans="1:5" ht="15" customHeight="1" x14ac:dyDescent="0.2">
      <c r="A3" s="3" t="s">
        <v>102</v>
      </c>
    </row>
    <row r="4" spans="1:5" ht="15" customHeight="1" x14ac:dyDescent="0.2">
      <c r="A4" s="5" t="s">
        <v>103</v>
      </c>
      <c r="B4" s="6">
        <v>150</v>
      </c>
    </row>
    <row r="5" spans="1:5" ht="15" customHeight="1" x14ac:dyDescent="0.2">
      <c r="A5" s="5" t="s">
        <v>104</v>
      </c>
      <c r="B5" s="6">
        <v>73</v>
      </c>
    </row>
    <row r="6" spans="1:5" ht="15" customHeight="1" x14ac:dyDescent="0.2">
      <c r="A6" s="5" t="s">
        <v>45</v>
      </c>
      <c r="B6" s="6">
        <v>0.3</v>
      </c>
    </row>
    <row r="7" spans="1:5" ht="15" customHeight="1" x14ac:dyDescent="0.2">
      <c r="A7" s="5" t="s">
        <v>46</v>
      </c>
      <c r="B7" s="6">
        <v>0.26700000000000002</v>
      </c>
    </row>
    <row r="8" spans="1:5" ht="15" customHeight="1" x14ac:dyDescent="0.2">
      <c r="A8" s="5" t="s">
        <v>105</v>
      </c>
      <c r="B8" s="6">
        <v>0.05</v>
      </c>
    </row>
    <row r="9" spans="1:5" ht="15" customHeight="1" x14ac:dyDescent="0.2">
      <c r="A9" s="5" t="s">
        <v>106</v>
      </c>
      <c r="B9" s="6">
        <v>0.77</v>
      </c>
    </row>
    <row r="10" spans="1:5" ht="15" customHeight="1" x14ac:dyDescent="0.2">
      <c r="A10" s="5" t="s">
        <v>107</v>
      </c>
      <c r="B10" s="6">
        <v>0.1</v>
      </c>
    </row>
    <row r="11" spans="1:5" ht="15" customHeight="1" x14ac:dyDescent="0.2">
      <c r="A11" s="5" t="s">
        <v>108</v>
      </c>
      <c r="B11" s="6">
        <v>0.95</v>
      </c>
    </row>
    <row r="12" spans="1:5" ht="15" customHeight="1" x14ac:dyDescent="0.2">
      <c r="A12" s="5" t="s">
        <v>109</v>
      </c>
      <c r="B12" s="6">
        <v>30</v>
      </c>
    </row>
    <row r="13" spans="1:5" ht="15" customHeight="1" x14ac:dyDescent="0.2">
      <c r="A13" s="5" t="s">
        <v>110</v>
      </c>
      <c r="B13" s="6">
        <v>0</v>
      </c>
    </row>
    <row r="15" spans="1:5" ht="15" customHeight="1" x14ac:dyDescent="0.2">
      <c r="A15" s="3" t="s">
        <v>111</v>
      </c>
      <c r="C15" s="5" t="s">
        <v>112</v>
      </c>
      <c r="D15" s="5" t="s">
        <v>113</v>
      </c>
      <c r="E15" s="5" t="s">
        <v>114</v>
      </c>
    </row>
    <row r="16" spans="1:5" ht="15" customHeight="1" x14ac:dyDescent="0.2">
      <c r="A16" s="5" t="s">
        <v>115</v>
      </c>
      <c r="C16" s="5">
        <f>MIN($B$4,$B$5)</f>
        <v>73</v>
      </c>
      <c r="D16" s="5">
        <v>73</v>
      </c>
      <c r="E16" s="3" t="str">
        <f>IF(ROUND($C16,0)=$D16,"MATCH","CHECK")</f>
        <v>MATCH</v>
      </c>
    </row>
    <row r="17" spans="1:5" ht="15" customHeight="1" x14ac:dyDescent="0.2">
      <c r="A17" s="5" t="s">
        <v>116</v>
      </c>
      <c r="C17" s="5">
        <f>$B$4-$B$5</f>
        <v>77</v>
      </c>
      <c r="D17" s="5">
        <v>77</v>
      </c>
      <c r="E17" s="3" t="str">
        <f>IF(ROUND($C17,0)=$D17,"MATCH","CHECK")</f>
        <v>MATCH</v>
      </c>
    </row>
    <row r="18" spans="1:5" ht="15" customHeight="1" x14ac:dyDescent="0.2">
      <c r="A18" s="5" t="s">
        <v>117</v>
      </c>
      <c r="C18" s="5">
        <f>$C$16/$B$6*$B$7*(1-$B$8)</f>
        <v>61.721500000000006</v>
      </c>
      <c r="D18" s="5">
        <v>61.7</v>
      </c>
      <c r="E18" s="3" t="str">
        <f>IF(ROUND($C18,1)=$D18,"MATCH","CHECK")</f>
        <v>MATCH</v>
      </c>
    </row>
    <row r="19" spans="1:5" ht="15" customHeight="1" x14ac:dyDescent="0.2">
      <c r="A19" s="5" t="s">
        <v>118</v>
      </c>
      <c r="C19" s="5">
        <f>0</f>
        <v>0</v>
      </c>
      <c r="D19" s="5">
        <v>0</v>
      </c>
      <c r="E19" s="3" t="str">
        <f>IF(ROUND($C19,0)=$D19,"MATCH","CHECK")</f>
        <v>MATCH</v>
      </c>
    </row>
    <row r="20" spans="1:5" ht="15" customHeight="1" x14ac:dyDescent="0.2">
      <c r="A20" s="5" t="s">
        <v>119</v>
      </c>
      <c r="C20" s="5">
        <f>$C$18+$C$19</f>
        <v>61.721500000000006</v>
      </c>
      <c r="D20" s="5">
        <v>61.7</v>
      </c>
      <c r="E20" s="3" t="str">
        <f t="shared" ref="E20:E26" si="0">IF(ROUND($C20,1)=$D20,"MATCH","CHECK")</f>
        <v>MATCH</v>
      </c>
    </row>
    <row r="21" spans="1:5" ht="15" customHeight="1" x14ac:dyDescent="0.2">
      <c r="A21" s="5" t="s">
        <v>120</v>
      </c>
      <c r="C21" s="5">
        <f>$C$20*$B$9</f>
        <v>47.525555000000004</v>
      </c>
      <c r="D21" s="5">
        <v>47.5</v>
      </c>
      <c r="E21" s="3" t="str">
        <f t="shared" si="0"/>
        <v>MATCH</v>
      </c>
    </row>
    <row r="22" spans="1:5" ht="15" customHeight="1" x14ac:dyDescent="0.2">
      <c r="A22" s="5" t="s">
        <v>121</v>
      </c>
      <c r="C22" s="5">
        <f>$C$21*(1-$B$10)</f>
        <v>42.772999500000005</v>
      </c>
      <c r="D22" s="5">
        <v>42.8</v>
      </c>
      <c r="E22" s="3" t="str">
        <f t="shared" si="0"/>
        <v>MATCH</v>
      </c>
    </row>
    <row r="23" spans="1:5" ht="15" customHeight="1" x14ac:dyDescent="0.2">
      <c r="A23" s="5" t="s">
        <v>122</v>
      </c>
      <c r="C23" s="5">
        <f>$C$21</f>
        <v>47.525555000000004</v>
      </c>
      <c r="D23" s="5">
        <v>47.5</v>
      </c>
      <c r="E23" s="3" t="str">
        <f t="shared" si="0"/>
        <v>MATCH</v>
      </c>
    </row>
    <row r="24" spans="1:5" ht="15" customHeight="1" x14ac:dyDescent="0.2">
      <c r="A24" s="5" t="s">
        <v>123</v>
      </c>
      <c r="C24" s="5">
        <f>MIN($C$22,$C$23)*$B$11</f>
        <v>40.634349525000005</v>
      </c>
      <c r="D24" s="5">
        <v>40.6</v>
      </c>
      <c r="E24" s="3" t="str">
        <f t="shared" si="0"/>
        <v>MATCH</v>
      </c>
    </row>
    <row r="25" spans="1:5" ht="15" customHeight="1" x14ac:dyDescent="0.2">
      <c r="A25" s="5" t="s">
        <v>124</v>
      </c>
      <c r="C25" s="5">
        <f>$C$24-$B$13-$B$12</f>
        <v>10.634349525000005</v>
      </c>
      <c r="D25" s="5">
        <v>10.6</v>
      </c>
      <c r="E25" s="3" t="str">
        <f t="shared" si="0"/>
        <v>MATCH</v>
      </c>
    </row>
    <row r="26" spans="1:5" ht="15" customHeight="1" x14ac:dyDescent="0.2">
      <c r="A26" s="5" t="s">
        <v>125</v>
      </c>
      <c r="C26" s="5">
        <f>$C$23-$C$24</f>
        <v>6.8912054749999996</v>
      </c>
      <c r="D26" s="5">
        <v>6.9</v>
      </c>
      <c r="E26" s="3" t="str">
        <f t="shared" si="0"/>
        <v>MATCH</v>
      </c>
    </row>
    <row r="28" spans="1:5" ht="39.75" customHeight="1" x14ac:dyDescent="0.2">
      <c r="A28" s="2" t="s">
        <v>126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2"/>
  <sheetViews>
    <sheetView zoomScaleNormal="100" workbookViewId="0"/>
  </sheetViews>
  <sheetFormatPr baseColWidth="10" defaultColWidth="8.6640625" defaultRowHeight="15" x14ac:dyDescent="0.2"/>
  <cols>
    <col min="1" max="1" width="46" customWidth="1"/>
    <col min="2" max="5" width="14" customWidth="1"/>
  </cols>
  <sheetData>
    <row r="1" spans="1:5" ht="15" customHeight="1" x14ac:dyDescent="0.2">
      <c r="A1" s="3" t="s">
        <v>127</v>
      </c>
    </row>
    <row r="3" spans="1:5" ht="15" customHeight="1" x14ac:dyDescent="0.2">
      <c r="A3" s="3" t="s">
        <v>102</v>
      </c>
    </row>
    <row r="4" spans="1:5" ht="15" customHeight="1" x14ac:dyDescent="0.2">
      <c r="A4" s="5" t="s">
        <v>128</v>
      </c>
      <c r="B4" s="6">
        <v>1100</v>
      </c>
    </row>
    <row r="5" spans="1:5" ht="15" customHeight="1" x14ac:dyDescent="0.2">
      <c r="A5" s="5" t="s">
        <v>129</v>
      </c>
      <c r="B5" s="6">
        <v>2.7</v>
      </c>
    </row>
    <row r="6" spans="1:5" ht="15" customHeight="1" x14ac:dyDescent="0.2">
      <c r="A6" s="5" t="s">
        <v>130</v>
      </c>
      <c r="B6" s="6">
        <v>0.9</v>
      </c>
    </row>
    <row r="7" spans="1:5" ht="15" customHeight="1" x14ac:dyDescent="0.2">
      <c r="A7" s="5" t="s">
        <v>107</v>
      </c>
      <c r="B7" s="6">
        <v>0.1</v>
      </c>
    </row>
    <row r="8" spans="1:5" ht="15" customHeight="1" x14ac:dyDescent="0.2">
      <c r="A8" s="5" t="s">
        <v>108</v>
      </c>
      <c r="B8" s="6">
        <v>0.95</v>
      </c>
    </row>
    <row r="9" spans="1:5" ht="15" customHeight="1" x14ac:dyDescent="0.2">
      <c r="A9" s="5" t="s">
        <v>131</v>
      </c>
      <c r="B9" s="6">
        <v>8</v>
      </c>
    </row>
    <row r="10" spans="1:5" ht="15" customHeight="1" x14ac:dyDescent="0.2">
      <c r="A10" s="5" t="s">
        <v>110</v>
      </c>
      <c r="B10" s="6">
        <v>0</v>
      </c>
    </row>
    <row r="12" spans="1:5" ht="15" customHeight="1" x14ac:dyDescent="0.2">
      <c r="A12" s="3" t="s">
        <v>111</v>
      </c>
      <c r="C12" s="5" t="s">
        <v>112</v>
      </c>
      <c r="D12" s="5" t="s">
        <v>113</v>
      </c>
      <c r="E12" s="5" t="s">
        <v>114</v>
      </c>
    </row>
    <row r="13" spans="1:5" ht="15" customHeight="1" x14ac:dyDescent="0.2">
      <c r="A13" s="5" t="s">
        <v>118</v>
      </c>
      <c r="C13" s="5">
        <f>$B$4*$B$5</f>
        <v>2970</v>
      </c>
      <c r="D13" s="5">
        <v>2970</v>
      </c>
      <c r="E13" s="3" t="str">
        <f t="shared" ref="E13:E20" si="0">IF(ROUND($C13,0)=$D13,"MATCH","CHECK")</f>
        <v>MATCH</v>
      </c>
    </row>
    <row r="14" spans="1:5" ht="15" customHeight="1" x14ac:dyDescent="0.2">
      <c r="A14" s="5" t="s">
        <v>119</v>
      </c>
      <c r="C14" s="5">
        <f>$C$13</f>
        <v>2970</v>
      </c>
      <c r="D14" s="5">
        <v>2970</v>
      </c>
      <c r="E14" s="3" t="str">
        <f t="shared" si="0"/>
        <v>MATCH</v>
      </c>
    </row>
    <row r="15" spans="1:5" ht="15" customHeight="1" x14ac:dyDescent="0.2">
      <c r="A15" s="5" t="s">
        <v>120</v>
      </c>
      <c r="C15" s="5">
        <f>$C$14*$B$6</f>
        <v>2673</v>
      </c>
      <c r="D15" s="5">
        <v>2673</v>
      </c>
      <c r="E15" s="3" t="str">
        <f t="shared" si="0"/>
        <v>MATCH</v>
      </c>
    </row>
    <row r="16" spans="1:5" ht="15" customHeight="1" x14ac:dyDescent="0.2">
      <c r="A16" s="5" t="s">
        <v>121</v>
      </c>
      <c r="C16" s="5">
        <f>ROUND($C$15*(1-$B$7),0)</f>
        <v>2406</v>
      </c>
      <c r="D16" s="5">
        <v>2406</v>
      </c>
      <c r="E16" s="3" t="str">
        <f t="shared" si="0"/>
        <v>MATCH</v>
      </c>
    </row>
    <row r="17" spans="1:5" ht="15" customHeight="1" x14ac:dyDescent="0.2">
      <c r="A17" s="5" t="s">
        <v>122</v>
      </c>
      <c r="C17" s="5">
        <f>$C$15</f>
        <v>2673</v>
      </c>
      <c r="D17" s="5">
        <v>2673</v>
      </c>
      <c r="E17" s="3" t="str">
        <f t="shared" si="0"/>
        <v>MATCH</v>
      </c>
    </row>
    <row r="18" spans="1:5" ht="15" customHeight="1" x14ac:dyDescent="0.2">
      <c r="A18" s="5" t="s">
        <v>123</v>
      </c>
      <c r="C18" s="5">
        <f>ROUND(MIN($C$16,$C$17)*$B$8,0)</f>
        <v>2286</v>
      </c>
      <c r="D18" s="5">
        <v>2286</v>
      </c>
      <c r="E18" s="3" t="str">
        <f t="shared" si="0"/>
        <v>MATCH</v>
      </c>
    </row>
    <row r="19" spans="1:5" ht="15" customHeight="1" x14ac:dyDescent="0.2">
      <c r="A19" s="5" t="s">
        <v>124</v>
      </c>
      <c r="C19" s="5">
        <f>$C$18-$B$10-$B$9</f>
        <v>2278</v>
      </c>
      <c r="D19" s="5">
        <v>2278</v>
      </c>
      <c r="E19" s="3" t="str">
        <f t="shared" si="0"/>
        <v>MATCH</v>
      </c>
    </row>
    <row r="20" spans="1:5" ht="15" customHeight="1" x14ac:dyDescent="0.2">
      <c r="A20" s="5" t="s">
        <v>125</v>
      </c>
      <c r="C20" s="5">
        <f>$C$17-$C$18</f>
        <v>387</v>
      </c>
      <c r="D20" s="5">
        <v>387</v>
      </c>
      <c r="E20" s="3" t="str">
        <f t="shared" si="0"/>
        <v>MATCH</v>
      </c>
    </row>
    <row r="22" spans="1:5" ht="39.75" customHeight="1" x14ac:dyDescent="0.2">
      <c r="A22" s="2" t="s">
        <v>132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8"/>
  <sheetViews>
    <sheetView zoomScaleNormal="100" workbookViewId="0"/>
  </sheetViews>
  <sheetFormatPr baseColWidth="10" defaultColWidth="8.6640625" defaultRowHeight="15" x14ac:dyDescent="0.2"/>
  <cols>
    <col min="1" max="1" width="46" customWidth="1"/>
    <col min="2" max="5" width="14" customWidth="1"/>
  </cols>
  <sheetData>
    <row r="1" spans="1:5" ht="15" customHeight="1" x14ac:dyDescent="0.2">
      <c r="A1" s="3" t="s">
        <v>133</v>
      </c>
    </row>
    <row r="3" spans="1:5" ht="15" customHeight="1" x14ac:dyDescent="0.2">
      <c r="A3" s="3" t="s">
        <v>102</v>
      </c>
    </row>
    <row r="4" spans="1:5" ht="15" customHeight="1" x14ac:dyDescent="0.2">
      <c r="A4" s="5" t="s">
        <v>134</v>
      </c>
      <c r="B4" s="6">
        <v>1260</v>
      </c>
    </row>
    <row r="5" spans="1:5" ht="15" customHeight="1" x14ac:dyDescent="0.2">
      <c r="A5" s="5" t="s">
        <v>104</v>
      </c>
      <c r="B5" s="6">
        <v>1000</v>
      </c>
    </row>
    <row r="6" spans="1:5" ht="15" customHeight="1" x14ac:dyDescent="0.2">
      <c r="A6" s="5" t="s">
        <v>135</v>
      </c>
      <c r="B6" s="6">
        <v>0.5</v>
      </c>
    </row>
    <row r="7" spans="1:5" ht="15" customHeight="1" x14ac:dyDescent="0.2">
      <c r="A7" s="5" t="s">
        <v>46</v>
      </c>
      <c r="B7" s="6">
        <v>0.22700000000000001</v>
      </c>
    </row>
    <row r="8" spans="1:5" ht="15" customHeight="1" x14ac:dyDescent="0.2">
      <c r="A8" s="5" t="s">
        <v>105</v>
      </c>
      <c r="B8" s="6">
        <v>0.05</v>
      </c>
    </row>
    <row r="9" spans="1:5" ht="15" customHeight="1" x14ac:dyDescent="0.2">
      <c r="A9" s="5" t="s">
        <v>106</v>
      </c>
      <c r="B9" s="6">
        <v>0.77</v>
      </c>
    </row>
    <row r="10" spans="1:5" ht="15" customHeight="1" x14ac:dyDescent="0.2">
      <c r="A10" s="5" t="s">
        <v>107</v>
      </c>
      <c r="B10" s="6">
        <v>0.1</v>
      </c>
    </row>
    <row r="11" spans="1:5" ht="15" customHeight="1" x14ac:dyDescent="0.2">
      <c r="A11" s="5" t="s">
        <v>108</v>
      </c>
      <c r="B11" s="6">
        <v>0.95</v>
      </c>
    </row>
    <row r="12" spans="1:5" ht="15" customHeight="1" x14ac:dyDescent="0.2">
      <c r="A12" s="5" t="s">
        <v>109</v>
      </c>
      <c r="B12" s="6">
        <v>5</v>
      </c>
    </row>
    <row r="13" spans="1:5" ht="15" customHeight="1" x14ac:dyDescent="0.2">
      <c r="A13" s="5" t="s">
        <v>110</v>
      </c>
      <c r="B13" s="6">
        <v>0</v>
      </c>
    </row>
    <row r="15" spans="1:5" ht="15" customHeight="1" x14ac:dyDescent="0.2">
      <c r="A15" s="3" t="s">
        <v>111</v>
      </c>
      <c r="C15" s="5" t="s">
        <v>112</v>
      </c>
      <c r="D15" s="5" t="s">
        <v>113</v>
      </c>
      <c r="E15" s="5" t="s">
        <v>114</v>
      </c>
    </row>
    <row r="16" spans="1:5" ht="15" customHeight="1" x14ac:dyDescent="0.2">
      <c r="A16" s="5" t="s">
        <v>115</v>
      </c>
      <c r="C16" s="5">
        <f>MIN($B$4,$B$5)</f>
        <v>1000</v>
      </c>
      <c r="D16" s="5">
        <v>1000</v>
      </c>
      <c r="E16" s="3" t="str">
        <f t="shared" ref="E16:E26" si="0">IF(ROUND($C16,0)=$D16,"MATCH","CHECK")</f>
        <v>MATCH</v>
      </c>
    </row>
    <row r="17" spans="1:5" ht="15" customHeight="1" x14ac:dyDescent="0.2">
      <c r="A17" s="5" t="s">
        <v>116</v>
      </c>
      <c r="C17" s="5">
        <f>$B$4-$B$5</f>
        <v>260</v>
      </c>
      <c r="D17" s="5">
        <v>260</v>
      </c>
      <c r="E17" s="3" t="str">
        <f t="shared" si="0"/>
        <v>MATCH</v>
      </c>
    </row>
    <row r="18" spans="1:5" ht="15" customHeight="1" x14ac:dyDescent="0.2">
      <c r="A18" s="5" t="s">
        <v>117</v>
      </c>
      <c r="C18" s="5">
        <f>$C$16/$B$6*$B$7*(1-$B$8)</f>
        <v>431.29999999999995</v>
      </c>
      <c r="D18" s="5">
        <v>431</v>
      </c>
      <c r="E18" s="3" t="str">
        <f t="shared" si="0"/>
        <v>MATCH</v>
      </c>
    </row>
    <row r="19" spans="1:5" ht="15" customHeight="1" x14ac:dyDescent="0.2">
      <c r="A19" s="5" t="s">
        <v>118</v>
      </c>
      <c r="C19" s="5">
        <f>0</f>
        <v>0</v>
      </c>
      <c r="D19" s="5">
        <v>0</v>
      </c>
      <c r="E19" s="3" t="str">
        <f t="shared" si="0"/>
        <v>MATCH</v>
      </c>
    </row>
    <row r="20" spans="1:5" ht="15" customHeight="1" x14ac:dyDescent="0.2">
      <c r="A20" s="5" t="s">
        <v>119</v>
      </c>
      <c r="C20" s="5">
        <f>$C$18+$C$19</f>
        <v>431.29999999999995</v>
      </c>
      <c r="D20" s="5">
        <v>431</v>
      </c>
      <c r="E20" s="3" t="str">
        <f t="shared" si="0"/>
        <v>MATCH</v>
      </c>
    </row>
    <row r="21" spans="1:5" ht="15" customHeight="1" x14ac:dyDescent="0.2">
      <c r="A21" s="5" t="s">
        <v>120</v>
      </c>
      <c r="C21" s="5">
        <f>$C$20*$B$9</f>
        <v>332.101</v>
      </c>
      <c r="D21" s="5">
        <v>332</v>
      </c>
      <c r="E21" s="3" t="str">
        <f t="shared" si="0"/>
        <v>MATCH</v>
      </c>
    </row>
    <row r="22" spans="1:5" ht="15" customHeight="1" x14ac:dyDescent="0.2">
      <c r="A22" s="5" t="s">
        <v>121</v>
      </c>
      <c r="C22" s="5">
        <f>$C$21*(1-$B$10)</f>
        <v>298.89089999999999</v>
      </c>
      <c r="D22" s="5">
        <v>299</v>
      </c>
      <c r="E22" s="3" t="str">
        <f t="shared" si="0"/>
        <v>MATCH</v>
      </c>
    </row>
    <row r="23" spans="1:5" ht="15" customHeight="1" x14ac:dyDescent="0.2">
      <c r="A23" s="5" t="s">
        <v>122</v>
      </c>
      <c r="C23" s="5">
        <f>$C$21</f>
        <v>332.101</v>
      </c>
      <c r="D23" s="5">
        <v>332</v>
      </c>
      <c r="E23" s="3" t="str">
        <f t="shared" si="0"/>
        <v>MATCH</v>
      </c>
    </row>
    <row r="24" spans="1:5" ht="15" customHeight="1" x14ac:dyDescent="0.2">
      <c r="A24" s="5" t="s">
        <v>123</v>
      </c>
      <c r="C24" s="5">
        <f>MIN($C$22,$C$23)*$B$11</f>
        <v>283.94635499999998</v>
      </c>
      <c r="D24" s="5">
        <v>284</v>
      </c>
      <c r="E24" s="3" t="str">
        <f t="shared" si="0"/>
        <v>MATCH</v>
      </c>
    </row>
    <row r="25" spans="1:5" ht="15" customHeight="1" x14ac:dyDescent="0.2">
      <c r="A25" s="5" t="s">
        <v>124</v>
      </c>
      <c r="C25" s="5">
        <f>$C$24-$B$13-$B$12</f>
        <v>278.94635499999998</v>
      </c>
      <c r="D25" s="5">
        <v>279</v>
      </c>
      <c r="E25" s="3" t="str">
        <f t="shared" si="0"/>
        <v>MATCH</v>
      </c>
    </row>
    <row r="26" spans="1:5" ht="15" customHeight="1" x14ac:dyDescent="0.2">
      <c r="A26" s="5" t="s">
        <v>125</v>
      </c>
      <c r="C26" s="5">
        <f>$C$23-$C$24</f>
        <v>48.154645000000016</v>
      </c>
      <c r="D26" s="5">
        <v>48</v>
      </c>
      <c r="E26" s="3" t="str">
        <f t="shared" si="0"/>
        <v>MATCH</v>
      </c>
    </row>
    <row r="28" spans="1:5" ht="39.75" customHeight="1" x14ac:dyDescent="0.2">
      <c r="A28" s="2" t="s">
        <v>136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9"/>
  <sheetViews>
    <sheetView zoomScaleNormal="100" workbookViewId="0">
      <selection activeCell="C3" sqref="C3"/>
    </sheetView>
  </sheetViews>
  <sheetFormatPr baseColWidth="10" defaultColWidth="8.6640625" defaultRowHeight="15" x14ac:dyDescent="0.2"/>
  <cols>
    <col min="1" max="1" width="62" customWidth="1"/>
    <col min="2" max="2" width="28" customWidth="1"/>
    <col min="3" max="3" width="20" customWidth="1"/>
  </cols>
  <sheetData>
    <row r="1" spans="1:3" ht="15" customHeight="1" x14ac:dyDescent="0.2">
      <c r="A1" s="3" t="s">
        <v>137</v>
      </c>
    </row>
    <row r="2" spans="1:3" ht="15" customHeight="1" x14ac:dyDescent="0.2">
      <c r="A2" s="3" t="s">
        <v>138</v>
      </c>
      <c r="B2" s="3" t="s">
        <v>139</v>
      </c>
      <c r="C2" s="3" t="s">
        <v>140</v>
      </c>
    </row>
    <row r="3" spans="1:3" ht="15" customHeight="1" x14ac:dyDescent="0.2">
      <c r="A3" s="5" t="s">
        <v>141</v>
      </c>
      <c r="B3" s="5" t="s">
        <v>142</v>
      </c>
      <c r="C3" s="5" t="s">
        <v>143</v>
      </c>
    </row>
    <row r="4" spans="1:3" ht="15" customHeight="1" x14ac:dyDescent="0.2">
      <c r="A4" s="5" t="s">
        <v>144</v>
      </c>
      <c r="B4" s="5" t="s">
        <v>145</v>
      </c>
      <c r="C4" s="5" t="s">
        <v>146</v>
      </c>
    </row>
    <row r="5" spans="1:3" ht="15" customHeight="1" x14ac:dyDescent="0.2">
      <c r="A5" s="5" t="s">
        <v>147</v>
      </c>
      <c r="B5" s="5" t="s">
        <v>148</v>
      </c>
      <c r="C5" s="5" t="s">
        <v>149</v>
      </c>
    </row>
    <row r="6" spans="1:3" ht="15" customHeight="1" x14ac:dyDescent="0.2">
      <c r="A6" s="5" t="s">
        <v>150</v>
      </c>
      <c r="B6" s="5" t="s">
        <v>151</v>
      </c>
      <c r="C6" s="5" t="s">
        <v>152</v>
      </c>
    </row>
    <row r="7" spans="1:3" ht="15" customHeight="1" x14ac:dyDescent="0.2">
      <c r="A7" s="5" t="s">
        <v>153</v>
      </c>
      <c r="B7" s="5" t="s">
        <v>154</v>
      </c>
      <c r="C7" s="5" t="s">
        <v>155</v>
      </c>
    </row>
    <row r="8" spans="1:3" ht="15" customHeight="1" x14ac:dyDescent="0.2">
      <c r="A8" s="5" t="s">
        <v>156</v>
      </c>
      <c r="B8" s="5" t="s">
        <v>157</v>
      </c>
      <c r="C8" s="5" t="s">
        <v>158</v>
      </c>
    </row>
    <row r="9" spans="1:3" ht="15" customHeight="1" x14ac:dyDescent="0.2">
      <c r="A9" s="5" t="s">
        <v>159</v>
      </c>
      <c r="B9" s="5" t="s">
        <v>160</v>
      </c>
      <c r="C9" s="5" t="s">
        <v>158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46"/>
  <sheetViews>
    <sheetView tabSelected="1" zoomScaleNormal="100" workbookViewId="0"/>
  </sheetViews>
  <sheetFormatPr baseColWidth="10" defaultColWidth="8.6640625" defaultRowHeight="15" x14ac:dyDescent="0.2"/>
  <cols>
    <col min="1" max="1" width="72" customWidth="1"/>
    <col min="2" max="2" width="26" customWidth="1"/>
  </cols>
  <sheetData>
    <row r="1" spans="1:2" ht="27.75" customHeight="1" x14ac:dyDescent="0.2">
      <c r="A1" s="7" t="s">
        <v>161</v>
      </c>
    </row>
    <row r="3" spans="1:2" x14ac:dyDescent="0.2">
      <c r="A3" s="3" t="s">
        <v>162</v>
      </c>
    </row>
    <row r="4" spans="1:2" x14ac:dyDescent="0.2">
      <c r="A4" s="5" t="s">
        <v>163</v>
      </c>
      <c r="B4" s="6">
        <v>900</v>
      </c>
    </row>
    <row r="5" spans="1:2" x14ac:dyDescent="0.2">
      <c r="A5" s="5" t="s">
        <v>164</v>
      </c>
      <c r="B5" s="6">
        <v>2.7</v>
      </c>
    </row>
    <row r="6" spans="1:2" x14ac:dyDescent="0.2">
      <c r="A6" s="5" t="s">
        <v>165</v>
      </c>
      <c r="B6" s="6">
        <v>0.8</v>
      </c>
    </row>
    <row r="7" spans="1:2" x14ac:dyDescent="0.2">
      <c r="A7" s="5" t="s">
        <v>166</v>
      </c>
      <c r="B7" s="6">
        <v>0.2</v>
      </c>
    </row>
    <row r="8" spans="1:2" x14ac:dyDescent="0.2">
      <c r="A8" s="5" t="s">
        <v>167</v>
      </c>
      <c r="B8" s="6">
        <v>2400</v>
      </c>
    </row>
    <row r="9" spans="1:2" x14ac:dyDescent="0.2">
      <c r="A9" s="5" t="s">
        <v>168</v>
      </c>
      <c r="B9" s="6">
        <v>1000</v>
      </c>
    </row>
    <row r="10" spans="1:2" x14ac:dyDescent="0.2">
      <c r="A10" s="5" t="s">
        <v>169</v>
      </c>
      <c r="B10" s="6">
        <v>1000</v>
      </c>
    </row>
    <row r="11" spans="1:2" x14ac:dyDescent="0.2">
      <c r="A11" s="5" t="s">
        <v>170</v>
      </c>
      <c r="B11" s="6">
        <v>0.5</v>
      </c>
    </row>
    <row r="12" spans="1:2" x14ac:dyDescent="0.2">
      <c r="A12" s="5" t="s">
        <v>171</v>
      </c>
      <c r="B12" s="6">
        <v>0.22700000000000001</v>
      </c>
    </row>
    <row r="13" spans="1:2" x14ac:dyDescent="0.2">
      <c r="A13" s="5" t="s">
        <v>172</v>
      </c>
      <c r="B13" s="6">
        <v>0.3</v>
      </c>
    </row>
    <row r="14" spans="1:2" x14ac:dyDescent="0.2">
      <c r="A14" s="5" t="s">
        <v>173</v>
      </c>
      <c r="B14" s="6">
        <v>0.26700000000000002</v>
      </c>
    </row>
    <row r="15" spans="1:2" x14ac:dyDescent="0.2">
      <c r="A15" s="5" t="s">
        <v>105</v>
      </c>
      <c r="B15" s="6">
        <v>0.05</v>
      </c>
    </row>
    <row r="16" spans="1:2" x14ac:dyDescent="0.2">
      <c r="A16" s="5" t="s">
        <v>174</v>
      </c>
      <c r="B16" s="6">
        <v>4000</v>
      </c>
    </row>
    <row r="17" spans="1:2" x14ac:dyDescent="0.2">
      <c r="A17" s="5" t="s">
        <v>175</v>
      </c>
      <c r="B17" s="6">
        <v>600</v>
      </c>
    </row>
    <row r="18" spans="1:2" x14ac:dyDescent="0.2">
      <c r="A18" s="5" t="s">
        <v>176</v>
      </c>
      <c r="B18" s="6">
        <v>0.77</v>
      </c>
    </row>
    <row r="19" spans="1:2" x14ac:dyDescent="0.2">
      <c r="A19" s="5" t="s">
        <v>107</v>
      </c>
      <c r="B19" s="6">
        <v>0.1</v>
      </c>
    </row>
    <row r="20" spans="1:2" x14ac:dyDescent="0.2">
      <c r="A20" s="5" t="s">
        <v>177</v>
      </c>
      <c r="B20" s="6">
        <v>0.95</v>
      </c>
    </row>
    <row r="21" spans="1:2" x14ac:dyDescent="0.2">
      <c r="A21" s="5" t="s">
        <v>178</v>
      </c>
      <c r="B21" s="6">
        <v>400</v>
      </c>
    </row>
    <row r="22" spans="1:2" x14ac:dyDescent="0.2">
      <c r="A22" s="5" t="s">
        <v>179</v>
      </c>
      <c r="B22" s="6">
        <v>8</v>
      </c>
    </row>
    <row r="23" spans="1:2" x14ac:dyDescent="0.2">
      <c r="A23" s="5" t="s">
        <v>180</v>
      </c>
      <c r="B23" s="6">
        <v>5</v>
      </c>
    </row>
    <row r="25" spans="1:2" x14ac:dyDescent="0.2">
      <c r="A25" s="3" t="s">
        <v>111</v>
      </c>
    </row>
    <row r="26" spans="1:2" x14ac:dyDescent="0.2">
      <c r="A26" s="5" t="s">
        <v>181</v>
      </c>
      <c r="B26" s="5">
        <f>MAX(0,B8-B9)</f>
        <v>1400</v>
      </c>
    </row>
    <row r="27" spans="1:2" x14ac:dyDescent="0.2">
      <c r="A27" s="5" t="s">
        <v>182</v>
      </c>
      <c r="B27" s="5">
        <f>B26/B13*B14*(1-B15)</f>
        <v>1183.7000000000003</v>
      </c>
    </row>
    <row r="28" spans="1:2" x14ac:dyDescent="0.2">
      <c r="A28" s="5" t="s">
        <v>183</v>
      </c>
      <c r="B28" s="5">
        <f>B4*B5*B6</f>
        <v>1944</v>
      </c>
    </row>
    <row r="29" spans="1:2" x14ac:dyDescent="0.2">
      <c r="A29" s="5" t="s">
        <v>184</v>
      </c>
      <c r="B29" s="5">
        <f>B4*B5*B7</f>
        <v>486</v>
      </c>
    </row>
    <row r="30" spans="1:2" x14ac:dyDescent="0.2">
      <c r="A30" s="5" t="s">
        <v>185</v>
      </c>
      <c r="B30" s="5">
        <f>B10/B11*B12*(1-B15)</f>
        <v>431.29999999999995</v>
      </c>
    </row>
    <row r="31" spans="1:2" x14ac:dyDescent="0.2">
      <c r="A31" s="5" t="s">
        <v>186</v>
      </c>
      <c r="B31" s="5">
        <f>B27+B28+B29+B30</f>
        <v>4045</v>
      </c>
    </row>
    <row r="32" spans="1:2" x14ac:dyDescent="0.2">
      <c r="A32" s="5" t="s">
        <v>187</v>
      </c>
      <c r="B32" s="5">
        <f>B31*B18</f>
        <v>3114.65</v>
      </c>
    </row>
    <row r="33" spans="1:2" x14ac:dyDescent="0.2">
      <c r="A33" s="5" t="s">
        <v>188</v>
      </c>
      <c r="B33" s="5">
        <f>B32*(1-B19)</f>
        <v>2803.1849999999999</v>
      </c>
    </row>
    <row r="34" spans="1:2" x14ac:dyDescent="0.2">
      <c r="A34" s="5" t="s">
        <v>189</v>
      </c>
      <c r="B34" s="5">
        <f>B32</f>
        <v>3114.65</v>
      </c>
    </row>
    <row r="35" spans="1:2" x14ac:dyDescent="0.2">
      <c r="A35" s="5" t="s">
        <v>190</v>
      </c>
      <c r="B35" s="5">
        <f>MIN(B33,B34)*B20</f>
        <v>2663.0257499999998</v>
      </c>
    </row>
    <row r="36" spans="1:2" x14ac:dyDescent="0.2">
      <c r="A36" s="5" t="s">
        <v>191</v>
      </c>
      <c r="B36" s="5">
        <f>B21/MIN(B22,B23)</f>
        <v>80</v>
      </c>
    </row>
    <row r="37" spans="1:2" x14ac:dyDescent="0.2">
      <c r="A37" s="5" t="s">
        <v>192</v>
      </c>
      <c r="B37" s="5">
        <f>B35-B36</f>
        <v>2583.0257499999998</v>
      </c>
    </row>
    <row r="38" spans="1:2" x14ac:dyDescent="0.2">
      <c r="A38" s="5" t="s">
        <v>193</v>
      </c>
      <c r="B38" s="5">
        <f>B34-B35</f>
        <v>451.6242500000003</v>
      </c>
    </row>
    <row r="40" spans="1:2" x14ac:dyDescent="0.2">
      <c r="A40" s="3" t="s">
        <v>194</v>
      </c>
    </row>
    <row r="41" spans="1:2" x14ac:dyDescent="0.2">
      <c r="A41" s="5" t="s">
        <v>195</v>
      </c>
      <c r="B41" s="3" t="str">
        <f>IF(B28+B29&lt;=B4*B5+0.001,"OK: "&amp;ROUND(B28+B29,0)&amp;" of "&amp;ROUND(B4*B5,0)&amp;" kg","EXCEEDS: reduce shares")</f>
        <v>OK: 2430 of 2430 kg</v>
      </c>
    </row>
    <row r="42" spans="1:2" x14ac:dyDescent="0.2">
      <c r="A42" s="5" t="s">
        <v>196</v>
      </c>
      <c r="B42" s="3" t="str">
        <f>IF(B16&gt;=B8+B17,"OK: "&amp;B16&amp;" vs "&amp;(B8+B17)&amp;" kWh","EXCEEDS: cap the credited service")</f>
        <v>OK: 4000 vs 3000 kWh</v>
      </c>
    </row>
    <row r="43" spans="1:2" x14ac:dyDescent="0.2">
      <c r="A43" s="5" t="s">
        <v>197</v>
      </c>
      <c r="B43" s="3" t="str">
        <f>IF(B26&lt;=MAX(0,B8-B9),"OK","EXCEEDS")</f>
        <v>OK</v>
      </c>
    </row>
    <row r="44" spans="1:2" x14ac:dyDescent="0.2">
      <c r="A44" s="5" t="s">
        <v>198</v>
      </c>
    </row>
    <row r="46" spans="1:2" ht="39.75" customHeight="1" x14ac:dyDescent="0.2">
      <c r="A46" s="8" t="s">
        <v>199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c63ac8-f873-4864-a556-1526ed5fb1dd">
      <Terms xmlns="http://schemas.microsoft.com/office/infopath/2007/PartnerControls"/>
    </lcf76f155ced4ddcb4097134ff3c332f>
    <TaxCatchAll xmlns="b83aece0-62c2-469f-addf-c34b3ad5a90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915A58E75E724683C9EF54A4DEE385" ma:contentTypeVersion="15" ma:contentTypeDescription="Create a new document." ma:contentTypeScope="" ma:versionID="ad55eeab5960cfeaad34050dba95bdb0">
  <xsd:schema xmlns:xsd="http://www.w3.org/2001/XMLSchema" xmlns:xs="http://www.w3.org/2001/XMLSchema" xmlns:p="http://schemas.microsoft.com/office/2006/metadata/properties" xmlns:ns2="7dc63ac8-f873-4864-a556-1526ed5fb1dd" xmlns:ns3="b83aece0-62c2-469f-addf-c34b3ad5a904" targetNamespace="http://schemas.microsoft.com/office/2006/metadata/properties" ma:root="true" ma:fieldsID="cfdc523ad7e76973d295ff876cf96883" ns2:_="" ns3:_="">
    <xsd:import namespace="7dc63ac8-f873-4864-a556-1526ed5fb1dd"/>
    <xsd:import namespace="b83aece0-62c2-469f-addf-c34b3ad5a9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63ac8-f873-4864-a556-1526ed5fb1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f161edd-7b79-4478-98eb-f673e2ec4f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aece0-62c2-469f-addf-c34b3ad5a90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a0eb0c7-d26c-4099-bb9e-4c18748980ce}" ma:internalName="TaxCatchAll" ma:showField="CatchAllData" ma:web="b83aece0-62c2-469f-addf-c34b3ad5a9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EB8183-0F32-4797-B270-89DD5B0F59F2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www.w3.org/XML/1998/namespace"/>
    <ds:schemaRef ds:uri="b83aece0-62c2-469f-addf-c34b3ad5a904"/>
    <ds:schemaRef ds:uri="7dc63ac8-f873-4864-a556-1526ed5fb1d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001B32F-9579-439D-8328-69B509A906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c63ac8-f873-4864-a556-1526ed5fb1dd"/>
    <ds:schemaRef ds:uri="b83aece0-62c2-469f-addf-c34b3ad5a9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92B73E-473A-4D51-9D0F-49A2C07589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Read me</vt:lpstr>
      <vt:lpstr>Reference</vt:lpstr>
      <vt:lpstr>Measures</vt:lpstr>
      <vt:lpstr>Cal</vt:lpstr>
      <vt:lpstr>Results</vt:lpstr>
      <vt:lpstr>Example 1</vt:lpstr>
      <vt:lpstr>Example 2</vt:lpstr>
      <vt:lpstr>Example 3</vt:lpstr>
      <vt:lpstr>Feedback map</vt:lpstr>
      <vt:lpstr>Example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Ema Cima</cp:lastModifiedBy>
  <cp:revision>2</cp:revision>
  <dcterms:created xsi:type="dcterms:W3CDTF">2026-09-23T15:46:33Z</dcterms:created>
  <dcterms:modified xsi:type="dcterms:W3CDTF">2026-10-08T12:36:24Z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0x01010042915A58E75E724683C9EF54A4DEE385</vt:lpwstr>
  </property>
  <property fmtid="{D5CDD505-2E9C-101B-9397-08002B2CF9AE}" pid="3" name="MediaServiceImageTags">
    <vt:lpwstr/>
  </property>
</Properties>
</file>