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/>
  <xr:revisionPtr revIDLastSave="0" documentId="8_{8AE8C52A-C22B-4F6D-B86B-7DC32D0B06BA}" xr6:coauthVersionLast="47" xr6:coauthVersionMax="47" xr10:uidLastSave="{00000000-0000-0000-0000-000000000000}"/>
  <bookViews>
    <workbookView xWindow="0" yWindow="0" windowWidth="16384" windowHeight="8192" tabRatio="500" xr2:uid="{00000000-000D-0000-FFFF-FFFF00000000}"/>
  </bookViews>
  <sheets>
    <sheet name="About" sheetId="1" r:id="rId1"/>
    <sheet name="Cooking" sheetId="2" r:id="rId2"/>
    <sheet name="Electricity" sheetId="3" r:id="rId3"/>
    <sheet name="Water" sheetId="4" r:id="rId4"/>
    <sheet name="Sanitation" sheetId="5" r:id="rId5"/>
    <sheet name="Summary" sheetId="6" r:id="rId6"/>
    <sheet name="Worked Examples" sheetId="7" r:id="rId7"/>
    <sheet name="Key Figures &amp; Sources" sheetId="8" r:id="rId8"/>
    <sheet name="Methodology" sheetId="9" r:id="rId9"/>
  </sheets>
  <definedNames>
    <definedName name="_xlnm._FilterDatabase" localSheetId="1" hidden="1">Cooking!$A$4:$K$4</definedName>
    <definedName name="_xlnm._FilterDatabase" localSheetId="2" hidden="1">Electricity!$A$4:$K$4</definedName>
    <definedName name="_xlnm._FilterDatabase" localSheetId="4" hidden="1">Sanitation!$A$4:$K$4</definedName>
    <definedName name="_xlnm._FilterDatabase" localSheetId="3" hidden="1">Water!$A$4:$K$4</definedName>
    <definedName name="_xlnm.Print_Area" localSheetId="0">About!$A$1:$C$33</definedName>
    <definedName name="_xlnm.Print_Titles" localSheetId="1">Cooking!$1:$4</definedName>
    <definedName name="_xlnm.Print_Titles" localSheetId="2">Electricity!$1:$4</definedName>
    <definedName name="_xlnm.Print_Titles" localSheetId="4">Sanitation!$1:$4</definedName>
    <definedName name="_xlnm.Print_Titles" localSheetId="3">Water!$1:$4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28" i="6" l="1"/>
  <c r="B23" i="6"/>
  <c r="B16" i="6"/>
  <c r="B15" i="6"/>
  <c r="B14" i="6"/>
  <c r="B8" i="6"/>
  <c r="B7" i="6"/>
  <c r="B6" i="6"/>
  <c r="G58" i="5"/>
  <c r="G57" i="5"/>
  <c r="G56" i="5"/>
  <c r="G55" i="5"/>
  <c r="G54" i="5"/>
  <c r="G51" i="5"/>
  <c r="G50" i="5"/>
  <c r="G49" i="5"/>
  <c r="G48" i="5"/>
  <c r="G46" i="5"/>
  <c r="G42" i="5"/>
  <c r="G41" i="5"/>
  <c r="G40" i="5"/>
  <c r="G39" i="5"/>
  <c r="G38" i="5"/>
  <c r="G37" i="5"/>
  <c r="G35" i="5"/>
  <c r="G34" i="5"/>
  <c r="G33" i="5"/>
  <c r="G30" i="5"/>
  <c r="G29" i="5"/>
  <c r="G28" i="5"/>
  <c r="G26" i="5"/>
  <c r="G25" i="5"/>
  <c r="G23" i="5"/>
  <c r="G22" i="5"/>
  <c r="G21" i="5"/>
  <c r="G19" i="5"/>
  <c r="G18" i="5"/>
  <c r="G16" i="5"/>
  <c r="G15" i="5"/>
  <c r="G13" i="5"/>
  <c r="G12" i="5"/>
  <c r="G11" i="5"/>
  <c r="G10" i="5"/>
  <c r="G9" i="5"/>
  <c r="G7" i="5"/>
  <c r="G6" i="5"/>
  <c r="H58" i="4"/>
  <c r="H57" i="4"/>
  <c r="G57" i="4"/>
  <c r="H56" i="4"/>
  <c r="G56" i="4"/>
  <c r="H55" i="4"/>
  <c r="G55" i="4"/>
  <c r="H54" i="4"/>
  <c r="H53" i="4"/>
  <c r="G53" i="4"/>
  <c r="H52" i="4"/>
  <c r="G52" i="4"/>
  <c r="H51" i="4"/>
  <c r="H50" i="4"/>
  <c r="H49" i="4"/>
  <c r="G49" i="4"/>
  <c r="H48" i="4"/>
  <c r="G48" i="4"/>
  <c r="H47" i="4"/>
  <c r="H46" i="4"/>
  <c r="G46" i="4"/>
  <c r="H45" i="4"/>
  <c r="H44" i="4"/>
  <c r="H43" i="4"/>
  <c r="H42" i="4"/>
  <c r="G42" i="4"/>
  <c r="H41" i="4"/>
  <c r="G41" i="4"/>
  <c r="H40" i="4"/>
  <c r="G40" i="4"/>
  <c r="H39" i="4"/>
  <c r="G39" i="4"/>
  <c r="H38" i="4"/>
  <c r="G38" i="4"/>
  <c r="H37" i="4"/>
  <c r="G37" i="4"/>
  <c r="H36" i="4"/>
  <c r="H35" i="4"/>
  <c r="G35" i="4"/>
  <c r="H34" i="4"/>
  <c r="G34" i="4"/>
  <c r="H33" i="4"/>
  <c r="G33" i="4"/>
  <c r="H32" i="4"/>
  <c r="H31" i="4"/>
  <c r="H30" i="4"/>
  <c r="H29" i="4"/>
  <c r="G29" i="4"/>
  <c r="H28" i="4"/>
  <c r="G28" i="4"/>
  <c r="H27" i="4"/>
  <c r="G27" i="4"/>
  <c r="H26" i="4"/>
  <c r="H25" i="4"/>
  <c r="H24" i="4"/>
  <c r="H23" i="4"/>
  <c r="H22" i="4"/>
  <c r="G22" i="4"/>
  <c r="H21" i="4"/>
  <c r="G21" i="4"/>
  <c r="H20" i="4"/>
  <c r="H19" i="4"/>
  <c r="G19" i="4"/>
  <c r="H18" i="4"/>
  <c r="G18" i="4"/>
  <c r="H17" i="4"/>
  <c r="H16" i="4"/>
  <c r="G16" i="4"/>
  <c r="H15" i="4"/>
  <c r="G15" i="4"/>
  <c r="H14" i="4"/>
  <c r="H13" i="4"/>
  <c r="H12" i="4"/>
  <c r="G12" i="4"/>
  <c r="H11" i="4"/>
  <c r="H10" i="4"/>
  <c r="G10" i="4"/>
  <c r="H9" i="4"/>
  <c r="G9" i="4"/>
  <c r="H8" i="4"/>
  <c r="H7" i="4"/>
  <c r="H6" i="4"/>
  <c r="H5" i="4"/>
  <c r="G58" i="3"/>
  <c r="G57" i="3"/>
  <c r="G56" i="3"/>
  <c r="G55" i="3"/>
  <c r="G54" i="3"/>
  <c r="G53" i="3"/>
  <c r="G52" i="3"/>
  <c r="G51" i="3"/>
  <c r="G50" i="3"/>
  <c r="G48" i="3"/>
  <c r="G47" i="3"/>
  <c r="G46" i="3"/>
  <c r="G45" i="3"/>
  <c r="G44" i="3"/>
  <c r="G43" i="3"/>
  <c r="G42" i="3"/>
  <c r="G41" i="3"/>
  <c r="G40" i="3"/>
  <c r="G39" i="3"/>
  <c r="G38" i="3"/>
  <c r="G37" i="3"/>
  <c r="C16" i="6" s="1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4" i="3"/>
  <c r="G13" i="3"/>
  <c r="G11" i="3"/>
  <c r="G10" i="3"/>
  <c r="G9" i="3"/>
  <c r="G8" i="3"/>
  <c r="G7" i="3"/>
  <c r="G6" i="3"/>
  <c r="C14" i="6" s="1"/>
  <c r="G5" i="3"/>
  <c r="C15" i="6" s="1"/>
  <c r="G58" i="2"/>
  <c r="G57" i="2"/>
  <c r="G56" i="2"/>
  <c r="G55" i="2"/>
  <c r="C8" i="6" s="1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C6" i="6" s="1"/>
  <c r="G5" i="2"/>
  <c r="C7" i="6" s="1"/>
  <c r="C33" i="6" l="1"/>
  <c r="C10" i="6"/>
  <c r="C9" i="6"/>
  <c r="B33" i="6" s="1"/>
  <c r="C34" i="6"/>
  <c r="C18" i="6"/>
  <c r="C17" i="6"/>
  <c r="B34" i="6" s="1"/>
  <c r="C22" i="6"/>
  <c r="B35" i="6" s="1"/>
  <c r="B22" i="6"/>
  <c r="C27" i="6"/>
  <c r="B36" i="6" s="1"/>
  <c r="B27" i="6"/>
  <c r="D33" i="6"/>
  <c r="B9" i="6"/>
  <c r="D34" i="6"/>
  <c r="B17" i="6"/>
</calcChain>
</file>

<file path=xl/sharedStrings.xml><?xml version="1.0" encoding="utf-8"?>
<sst xmlns="http://schemas.openxmlformats.org/spreadsheetml/2006/main" count="1682" uniqueCount="382">
  <si>
    <t>Basic-Services Deficit &amp; Crediting-Mandate Index</t>
  </si>
  <si>
    <t>Supporting dataset for the report “Closing the Gap: why carbon markets have not yet closed basic-service gaps”</t>
  </si>
  <si>
    <t>Version</t>
  </si>
  <si>
    <t>2.0  ·  October 2026</t>
  </si>
  <si>
    <t>Authors</t>
  </si>
  <si>
    <t>Vikash Talyan and Julie Aguko</t>
  </si>
  <si>
    <t>Publisher</t>
  </si>
  <si>
    <t>Gold Standard for the Global Goals (GS4GG)</t>
  </si>
  <si>
    <t>About this dataset</t>
  </si>
  <si>
    <t>This index compiles, for the 54 countries carrying the largest basic-service deficits — the 44 Least Developed Countries plus the 10 largest-deficit non-LDC countries — the population lacking each of four household services (clean cooking, electricity, drinking water and sanitation) and the status of each country’s Nationally Determined Contribution (NDC) as a quantified, finance-conditional crediting mandate. It is the quantitative basis for the report’s central finding: quantified national commitments exist for cooking and electricity but are effectively absent for water and sanitation.</t>
  </si>
  <si>
    <t>Contents</t>
  </si>
  <si>
    <t>Sheet</t>
  </si>
  <si>
    <t>What it contains</t>
  </si>
  <si>
    <t>Cooking</t>
  </si>
  <si>
    <t>54-country clean-cooking access, derived deficit, and NDC crediting-mandate status.</t>
  </si>
  <si>
    <t>Electricity</t>
  </si>
  <si>
    <t>54-country electricity access, derived deficit, and NDC status (Mission 300 compacts).</t>
  </si>
  <si>
    <t>Water</t>
  </si>
  <si>
    <t>54-country safely-managed drinking-water access, deficit, and measurability.</t>
  </si>
  <si>
    <t>Sanitation</t>
  </si>
  <si>
    <t>54-country safely-managed sanitation access, deficit, open-defecation burden.</t>
  </si>
  <si>
    <t>Summary</t>
  </si>
  <si>
    <t>Totals by NDC tier for each service, and the grand comparison across all four.</t>
  </si>
  <si>
    <t>Worked Examples</t>
  </si>
  <si>
    <t>India and Niger — the financing-residual cases (cost vs mobilised vs residual).</t>
  </si>
  <si>
    <t>Key Figures &amp; Sources</t>
  </si>
  <si>
    <t>Every quantified figure used in the report, with its APA source.</t>
  </si>
  <si>
    <t>Methodology</t>
  </si>
  <si>
    <t>Deficit derivation, NDC classification rules, caveats and full source list.</t>
  </si>
  <si>
    <t>How to cite</t>
  </si>
  <si>
    <t>Talyan, V., &amp; Aguko, J. (2026). Basic-Services Deficit &amp; Crediting-Mandate Index [Data set]. Gold Standard for the Global Goals. Supporting dataset for “Closing the Gap”.</t>
  </si>
  <si>
    <t>Key caveats</t>
  </si>
  <si>
    <t>•</t>
  </si>
  <si>
    <t>Deficits are provisional and derived: population × (100 − access %). See the Methodology sheet.</t>
  </si>
  <si>
    <t>Water and sanitation use the safely-managed standard (SDG 6.1/6.2). 25 of 54 countries have no national safely-managed water estimate and 16 none for sanitation, so those totals are conservative floors.</t>
  </si>
  <si>
    <t>“Quantified” NDC status means a numeric, finance-conditional access target; the rule per service is set out in Methodology.</t>
  </si>
  <si>
    <t>Figures follow a GWP100 basis.</t>
  </si>
  <si>
    <t>Primary sources</t>
  </si>
  <si>
    <t>WHO/UNICEF Joint Monitoring Programme (2025); Clean Cooking Alliance NDC Tracker (2026); ESMAP Mission 300 National Energy Compacts (2025); IEA/IRENA/UNSD/World Bank/WHO Tracking SDG 7 (2026); World Bank population data (2024). Full reference list on the Key Figures &amp; Sources sheet.</t>
  </si>
  <si>
    <t>Basic-Services Index — Service 1: Clean cooking (54 countries)</t>
  </si>
  <si>
    <t>Deficit = (100 − clean-cooking access%) × population. Access% &amp; NDC measure status: Clean Cooking Alliance NDC Tracker (Apr 2026); populations World Bank 2024 (approx). NDC status: Quantified = confirmed numeric access target (3); General = explicit/implicit measure (CCA class shown); None = no measure.</t>
  </si>
  <si>
    <t>#</t>
  </si>
  <si>
    <t>Country</t>
  </si>
  <si>
    <t>Region</t>
  </si>
  <si>
    <t>LDC</t>
  </si>
  <si>
    <t>Cooking
access %</t>
  </si>
  <si>
    <t>Pop
(m)</t>
  </si>
  <si>
    <t>Pop without
clean cooking (m)</t>
  </si>
  <si>
    <t>Figure basis</t>
  </si>
  <si>
    <t>NDC status</t>
  </si>
  <si>
    <t>Detail / NDC document</t>
  </si>
  <si>
    <t>Notes</t>
  </si>
  <si>
    <t>Angola</t>
  </si>
  <si>
    <t>Africa</t>
  </si>
  <si>
    <t>Y</t>
  </si>
  <si>
    <t>Derived: (100−access)×pop</t>
  </si>
  <si>
    <t>General</t>
  </si>
  <si>
    <t>CCA: explicit — NDC 3.0 (2025)</t>
  </si>
  <si>
    <t>Benin</t>
  </si>
  <si>
    <t>Quantified</t>
  </si>
  <si>
    <t>Quantified — Mission 300 compact (clean-cooking access target)</t>
  </si>
  <si>
    <t>Burkina Faso</t>
  </si>
  <si>
    <t>FCV</t>
  </si>
  <si>
    <t>Burundi</t>
  </si>
  <si>
    <t>Central African Rep.</t>
  </si>
  <si>
    <t>CCA: explicit — NDC 3.0 (2026)</t>
  </si>
  <si>
    <t>Chad</t>
  </si>
  <si>
    <t>Comoros</t>
  </si>
  <si>
    <t>DR Congo</t>
  </si>
  <si>
    <t>Djibouti</t>
  </si>
  <si>
    <t>CCA: explicit — Second NDC (2025)</t>
  </si>
  <si>
    <t>Eritrea</t>
  </si>
  <si>
    <t>Population estimate uncertain</t>
  </si>
  <si>
    <t>Ethiopia</t>
  </si>
  <si>
    <t>Quantified — 75% clean cooking by 2035 (Roadmap) + Mission 300</t>
  </si>
  <si>
    <t>Gambia</t>
  </si>
  <si>
    <t>Guinea</t>
  </si>
  <si>
    <t>Guinea-Bissau</t>
  </si>
  <si>
    <t>CCA: explicit — First NDC Upd. (2021)</t>
  </si>
  <si>
    <t>Lesotho</t>
  </si>
  <si>
    <t>Liberia</t>
  </si>
  <si>
    <t>Madagascar</t>
  </si>
  <si>
    <t>Malawi</t>
  </si>
  <si>
    <t>Mali</t>
  </si>
  <si>
    <t>Mauritania</t>
  </si>
  <si>
    <t>Mozambique</t>
  </si>
  <si>
    <t>Niger</t>
  </si>
  <si>
    <t>Rwanda</t>
  </si>
  <si>
    <t>Senegal</t>
  </si>
  <si>
    <t>Sierra Leone</t>
  </si>
  <si>
    <t>Somalia</t>
  </si>
  <si>
    <t>South Sudan</t>
  </si>
  <si>
    <t>CCA: explicit — Second NDC (2021)</t>
  </si>
  <si>
    <t>Sudan</t>
  </si>
  <si>
    <t>CCA: explicit — First NDC (2022)</t>
  </si>
  <si>
    <t>Access CI very wide; confirm · FCV</t>
  </si>
  <si>
    <t>Togo</t>
  </si>
  <si>
    <t>Uganda</t>
  </si>
  <si>
    <t>Quantified — 65% clean-cooking energy by 2030 (NDC)</t>
  </si>
  <si>
    <t>Tanzania</t>
  </si>
  <si>
    <t>Quantified — National Clean Cooking Strategy 80% by 2034 + Mission 300</t>
  </si>
  <si>
    <t>Zambia</t>
  </si>
  <si>
    <t>Afghanistan</t>
  </si>
  <si>
    <t>Asia</t>
  </si>
  <si>
    <t>CCA: explicit — INDC (2015)</t>
  </si>
  <si>
    <t>Bangladesh</t>
  </si>
  <si>
    <t>Quantified — national clean-cooking action plan (100% by 2030)</t>
  </si>
  <si>
    <t>Cambodia</t>
  </si>
  <si>
    <t>Lao PDR</t>
  </si>
  <si>
    <t>Myanmar</t>
  </si>
  <si>
    <t>Nepal</t>
  </si>
  <si>
    <t>Quantified — 25% e-cooking by 2030 + stove targets (NDC)</t>
  </si>
  <si>
    <t>Timor-Leste</t>
  </si>
  <si>
    <t>CCA: explicit — Updated NDC (2022)</t>
  </si>
  <si>
    <t>Yemen</t>
  </si>
  <si>
    <t>CCA: implicit — NDC 3.0 (2025)</t>
  </si>
  <si>
    <t>Haiti</t>
  </si>
  <si>
    <t>Caribbean</t>
  </si>
  <si>
    <t>CCA: explicit — NDC Revised (2022)</t>
  </si>
  <si>
    <t>Kiribati</t>
  </si>
  <si>
    <t>Pacific</t>
  </si>
  <si>
    <t>CCA: implicit — Enhanced NDC (2023)</t>
  </si>
  <si>
    <t>Negligible absolute deficit (small-pop LDC)</t>
  </si>
  <si>
    <t>Solomon Islands</t>
  </si>
  <si>
    <t>Tuvalu</t>
  </si>
  <si>
    <t>Nigeria</t>
  </si>
  <si>
    <t>—</t>
  </si>
  <si>
    <t>Quantified — 20% e-cooking by 2030 (plan) + Mission 300 compact</t>
  </si>
  <si>
    <t>India</t>
  </si>
  <si>
    <t>Quantified — 25% e-cooking by 2030 (Green Shift) + Art.6 eligibility</t>
  </si>
  <si>
    <t>Explicit measure = Art.6 eligibility for renewable e-cooking (instrument, not access target)</t>
  </si>
  <si>
    <t>China</t>
  </si>
  <si>
    <t>CCA: explicit — 2035 NDC (2025)</t>
  </si>
  <si>
    <t>Indonesia</t>
  </si>
  <si>
    <t>CCA: implicit — Second NDC (2025)</t>
  </si>
  <si>
    <t>Pakistan</t>
  </si>
  <si>
    <t>Kenya</t>
  </si>
  <si>
    <t>Quantified — universal by 2028 (KNCTS); Mission 300 compact (100%)</t>
  </si>
  <si>
    <t>Philippines</t>
  </si>
  <si>
    <t>None</t>
  </si>
  <si>
    <t>CCA: not included — First NDC (2021)</t>
  </si>
  <si>
    <t>Top-deficit country with NO cooking measure in its NDC</t>
  </si>
  <si>
    <t>Ghana</t>
  </si>
  <si>
    <t>Quantified — NDC clean-cooking mitigation target + Mission 300</t>
  </si>
  <si>
    <t>Côte d'Ivoire</t>
  </si>
  <si>
    <t>Papua New Guinea</t>
  </si>
  <si>
    <t>CCA: implicit — Second NDC (2020)</t>
  </si>
  <si>
    <t>Basic-Services Index — Service 2: Electricity (54 countries)</t>
  </si>
  <si>
    <t>Deficit = (100 − access%) × population; top-3 use Reported Tracking SDG7 2024 absolute figures. Access%: World Bank/OWID (2021–23). NDC status: Quantified = quantified 2030 national access target via Mission 300 National Energy Compact (24 countries); General = electrification commitment, target unconfirmed; N/A = basic access essentially achieved (South Asia etc.).</t>
  </si>
  <si>
    <t>Electricity
access %</t>
  </si>
  <si>
    <t>Pop without
electricity (m)</t>
  </si>
  <si>
    <t>Electrification commitment; NDC access target to confirm</t>
  </si>
  <si>
    <t>Mission 300 compact — 2030 access target</t>
  </si>
  <si>
    <t>Reported: SDG7 2024</t>
  </si>
  <si>
    <t>Reported: Tracking SDG7 2024 (2nd largest) · FCV</t>
  </si>
  <si>
    <t>Reported: Tracking SDG7 2024 (3rd largest)</t>
  </si>
  <si>
    <t>N/A – access achieved</t>
  </si>
  <si>
    <t>Access ≥~94% (SDG7 7.1.1) — basic gap essentially closed</t>
  </si>
  <si>
    <t>Reported: Tracking SDG7 2024 (largest global deficit)</t>
  </si>
  <si>
    <t>Declared ~universal access c.2020; small residual</t>
  </si>
  <si>
    <t>WB binary access metric; reliability far lower ('1 in 4' lack reliable supply)</t>
  </si>
  <si>
    <t>Largest access gap outside Africa (~79% without)</t>
  </si>
  <si>
    <t>Basic-Services Index — Service 3: Drinking water (54 countries)</t>
  </si>
  <si>
    <t>Primary metric: safely-managed drinking water (SDG 6.1). Deficit = (100 − SM%) × population where JMP has a national estimate (29 countries); the other 25 have NO national SM estimate — SDG 6.1 is unmeasurable for them (the invisibility finding). A 'without improved source' floor (all 54) is shown for completeness. NDC water status is overwhelmingly adaptation-framed (SIWI); quantified conditional water-access targets are rare — no purpose-built tracker exists, so per-NDC classification is deferred. Data: WHO/UNICEF JMP 2025 (via OWID/WB); pop WB 2024.</t>
  </si>
  <si>
    <t>SM water
access %</t>
  </si>
  <si>
    <t>Without safely-
managed (m)</t>
  </si>
  <si>
    <t>Without improved
source, floor (m)</t>
  </si>
  <si>
    <t>Figure basis / measurability</t>
  </si>
  <si>
    <t>NDC water status</t>
  </si>
  <si>
    <t>no est.</t>
  </si>
  <si>
    <t>No national SM estimate (JMP)</t>
  </si>
  <si>
    <t>Adaptation (SIWI)</t>
  </si>
  <si>
    <t>No national SM estimate — SDG 6.1 unmeasurable</t>
  </si>
  <si>
    <t>No national SM estimate — SDG 6.1 unmeasurable · FCV</t>
  </si>
  <si>
    <t>Derived: (100−SM%)×pop</t>
  </si>
  <si>
    <t>First-ever national SM estimate only in JMP 2025 — the invisibility exemplar</t>
  </si>
  <si>
    <t>No national SM estimate</t>
  </si>
  <si>
    <t>No national SM estimate despite large deficit</t>
  </si>
  <si>
    <t>Highest share without improved source of any country (47%)</t>
  </si>
  <si>
    <t>Basic-Services Index — Service 4: Sanitation (54 countries)</t>
  </si>
  <si>
    <t>Primary metric: safely-managed sanitation (SDG 6.2). Deficit = (100 − SM%) × population where JMP has a national estimate (38 countries); 16 have NO national estimate (incl. Indonesia &amp; Pakistan) — the invisibility finding. 'OD burden' flags high open-defecation countries — the link to non-sewered sanitation methane and the GS Safe Sanitation Services (SAS) methodology now published. NDC sanitation targets are essentially absent (weakest of all four services). Data: WHO/UNICEF JMP 2025 (via OWID); pop WB 2024.</t>
  </si>
  <si>
    <t>SM sanitation
access %</t>
  </si>
  <si>
    <t>OD
burden</t>
  </si>
  <si>
    <t>NDC sanitation status</t>
  </si>
  <si>
    <t>High</t>
  </si>
  <si>
    <t>Absent / adaptation (SIWI)</t>
  </si>
  <si>
    <t>No national SM estimate — SDG 6.2 unmeasurable</t>
  </si>
  <si>
    <t>~92% lack SM sanitation — among the world's largest gaps by rate</t>
  </si>
  <si>
    <t>Highest open-defecation rate globally (~71%) · FCV</t>
  </si>
  <si>
    <t>No national SM estimate — SDG 6.2 unmeasurable · FCV</t>
  </si>
  <si>
    <t>SBM lifted SM sanitation to ~63%, but 535m still lack it — the SAS landing case</t>
  </si>
  <si>
    <t>No national SM sanitation estimate — invisibility</t>
  </si>
  <si>
    <t>Summary — all four services</t>
  </si>
  <si>
    <t>Population lacking each service across 54 countries, by NDC-commitment tier (cooking, electricity) or measurability (water, sanitation). Cooking Quantified now reflects Mission 300 compact clean-cooking targets + documented national/NDC targets. Grand comparison at the foot is the report's core evidence. All deficits provisional/derived.</t>
  </si>
  <si>
    <t>SERVICE 1 — Clean cooking</t>
  </si>
  <si>
    <t>NDC tier</t>
  </si>
  <si>
    <t>Countries</t>
  </si>
  <si>
    <t>Pop lacking (m)</t>
  </si>
  <si>
    <t>TOTAL (54)</t>
  </si>
  <si>
    <t>Strict headline (Quantified):</t>
  </si>
  <si>
    <t>SERVICE 2 — Electricity</t>
  </si>
  <si>
    <t>SERVICE 3 — Drinking water</t>
  </si>
  <si>
    <t>Metric</t>
  </si>
  <si>
    <t>Safely-managed deficit (measurable)</t>
  </si>
  <si>
    <t>No national SM estimate (invisible)</t>
  </si>
  <si>
    <t>SERVICE 4 — Sanitation</t>
  </si>
  <si>
    <t>GRAND COMPARISON — the report's core evidence</t>
  </si>
  <si>
    <t>Service</t>
  </si>
  <si>
    <t>Total deficit (m)</t>
  </si>
  <si>
    <t>Confirmed quantified
NDC target (m)</t>
  </si>
  <si>
    <t># countries w/
quantified target</t>
  </si>
  <si>
    <t>NDC-hook strength</t>
  </si>
  <si>
    <t>Clean cooking</t>
  </si>
  <si>
    <t>Strong — Mission 300 compacts + NDC targets</t>
  </si>
  <si>
    <t>Strong — Mission 300 compacts</t>
  </si>
  <si>
    <t>Drinking water</t>
  </si>
  <si>
    <t>0</t>
  </si>
  <si>
    <t>Very weak — adaptation only</t>
  </si>
  <si>
    <t>Weakest / absent</t>
  </si>
  <si>
    <t>THE FINDING, QUANTIFIED: the two MATURE-methodology services now both show strong NDC hooks — electricity (24 Mission 300 access targets) and cooking (28: Mission 300 compact clean-cooking targets + documented national/NDC targets incl. India, Bangladesh, Uganda, Nepal, Tanzania). The two services where Gold Standard has JUST published methodologies — water (SDWS v2.0) and sanitation (SAS, now published) — still show ZERO quantified NDC hooks, plus the largest measurement invisibility (water: India/China/Kenya/PNG; sanitation: Indonesia/Pakistan). The contrast is now sharper: quantified crediting mandates exist for the two services with mature methodologies and are ABSENT for the two with new methodologies — which is exactly the gap the new methodologies close. Sanitation carries the single largest deficit (India ~535m). Geographies of need differ (electricity is SSA-concentrated; cooking/water/sanitation broad) — the case for crediting the whole HOUSEHOLD BASKET, not one appliance.</t>
  </si>
  <si>
    <t>Worked examples — the finance residual, country by country</t>
  </si>
  <si>
    <t>Two cases bracket the argument: India (maximal fiscal capacity — the gap is still structural) and Niger (minimal capacity — the residual is essentially the whole cost). Only step 4 (residual) is computed; all other figures are sourced from public literature. Nothing is modelled by the authors.</t>
  </si>
  <si>
    <t>CASE A — India  (maximal capacity: the gap is structural)</t>
  </si>
  <si>
    <t>Step</t>
  </si>
  <si>
    <t>Item</t>
  </si>
  <si>
    <t>Detail</t>
  </si>
  <si>
    <t>Source</t>
  </si>
  <si>
    <t>1</t>
  </si>
  <si>
    <t>The gap</t>
  </si>
  <si>
    <t>~535 million people without safely managed sanitation — the largest such deficit in the world — despite the largest sanitation drive in history (100m+ toilets; ODF declared 2019).</t>
  </si>
  <si>
    <t>Companion index; WHO &amp; UNICEF (2025)</t>
  </si>
  <si>
    <t>2</t>
  </si>
  <si>
    <t>State of play</t>
  </si>
  <si>
    <t>Only ~28% of sewage is treated (72 bn litres/day generated; capacity for 37%); ~400 of ~4,700 cities have sewerage networks. The gap is treatment &amp; safe disposal, not toilets.</t>
  </si>
  <si>
    <t>IndiaSpend (2025)</t>
  </si>
  <si>
    <t>3</t>
  </si>
  <si>
    <t>What it can mobilise</t>
  </si>
  <si>
    <t>Urban sanitation mission phase 2 (SBM-U 2.0): ~USD 17 bn for 2021–26, faecal-sludge/used-water treatment newly prioritised; sanitation allocation broadly flat.</t>
  </si>
  <si>
    <t>CSIS (2024)</t>
  </si>
  <si>
    <t>4</t>
  </si>
  <si>
    <t>Residual  (computed)</t>
  </si>
  <si>
    <t>The untreated ~72% of sewage — the safely-managed step — persists despite maximal will and a flagship programme. Structural, not a failure of ambition.</t>
  </si>
  <si>
    <t>(2) minus (3)</t>
  </si>
  <si>
    <t>5</t>
  </si>
  <si>
    <t>In carbon terms</t>
  </si>
  <si>
    <t>Methane from untreated waste/faecal sludge is what a sanitation method credits. India already embraced Article 6 for clean cooking; the same sovereign route is open for sanitation.</t>
  </si>
  <si>
    <t>MECS (2025)</t>
  </si>
  <si>
    <t>CASE B — Niger  (minimal capacity: the residual is the whole cost)</t>
  </si>
  <si>
    <t>~66% still practise open defecation (highest in the world); only 56% have any drinking-water source (44% rural); 13% have basic sanitation.</t>
  </si>
  <si>
    <t>UNICEF (n.d.)</t>
  </si>
  <si>
    <t>Cost to close</t>
  </si>
  <si>
    <t>Reaching SDG 6.1 &amp; 6.2 costed at ~USD 1.87 billion.</t>
  </si>
  <si>
    <t>Cumulative WASH spend ~USD 167 million (2017–20) — under a tenth of the cost; allocations below the recommended 1% of GDP.</t>
  </si>
  <si>
    <t>~USD 1.69 billion over 2021–30 — essentially the entire cost. Domestic closure at the required pace is arithmetically out of reach.</t>
  </si>
  <si>
    <t>Niger has filed an Article 6.4 authorisation stating that authorising activities helps bridge the NDC financing gap — the residual, with the instrument already in motion.</t>
  </si>
  <si>
    <t>Government of Niger (2025)</t>
  </si>
  <si>
    <t>Together: the gap persists even at maximal capacity (India) and is total at minimal capacity (Niger). Every country sits between them. India’s case also illustrates the safely-managed vs. basic distinction — ODF and near-universal basic access can coexist with a very large safely-managed deficit.</t>
  </si>
  <si>
    <t>Key figures &amp; sources backing the report</t>
  </si>
  <si>
    <t>Every quantified claim in the report, its value, and its source (APA). Figures marked “derived” are computed in this index; all others are pinned to a primary source.</t>
  </si>
  <si>
    <t>Figure / claim</t>
  </si>
  <si>
    <t>Value</t>
  </si>
  <si>
    <t>Source (APA in-text)</t>
  </si>
  <si>
    <t>Access &amp; the gap</t>
  </si>
  <si>
    <t>Without safely managed drinking water (global)</t>
  </si>
  <si>
    <t>2.1 billion</t>
  </si>
  <si>
    <t>WHO &amp; UNICEF (2025)</t>
  </si>
  <si>
    <t>Without safely managed sanitation (global)</t>
  </si>
  <si>
    <t>3.4 billion</t>
  </si>
  <si>
    <t>Gained safely managed water / sanitation, 2015–24</t>
  </si>
  <si>
    <t>~1 bn / &gt;1 bn</t>
  </si>
  <si>
    <t>Low-income progress multiplier needed to 2030</t>
  </si>
  <si>
    <t>~7× water; ~18× sanitation</t>
  </si>
  <si>
    <t>Sub-Saharan Africa without clean cooking</t>
  </si>
  <si>
    <t>~1 billion (~4 in 5 households)</t>
  </si>
  <si>
    <t>IEA (2025)</t>
  </si>
  <si>
    <t>Nigeria without electricity (largest deficit)</t>
  </si>
  <si>
    <t>~87 million (4th year running)</t>
  </si>
  <si>
    <t>IEA et al. (2026)</t>
  </si>
  <si>
    <t>54-country deficits: cooking / electricity / water / sanitation</t>
  </si>
  <si>
    <t>2,115 / 658 / 1,165 / 1,963 m</t>
  </si>
  <si>
    <t>Derived (companion index)</t>
  </si>
  <si>
    <t>Quantified national commitments (of 54): cooking / elec / water / sanitation</t>
  </si>
  <si>
    <t>28 / 24 / 0 / 0</t>
  </si>
  <si>
    <t>CCA (2026); ESMAP (2025); derived</t>
  </si>
  <si>
    <t>No national safely-managed estimate: water / sanitation</t>
  </si>
  <si>
    <t>25 / 16 of 54 countries</t>
  </si>
  <si>
    <t>Derived from WHO &amp; UNICEF (2025)</t>
  </si>
  <si>
    <t>The finance gap</t>
  </si>
  <si>
    <t>WASH annual spending shortfall</t>
  </si>
  <si>
    <t>USD 131–141 billion</t>
  </si>
  <si>
    <t>World Bank (2024)</t>
  </si>
  <si>
    <t>WASH capital cost to 2030 (≈3× current); ODA</t>
  </si>
  <si>
    <t>USD 114 bn/yr; ODA ~USD 13 bn/yr</t>
  </si>
  <si>
    <t>Hutton &amp; Varughese (2016)</t>
  </si>
  <si>
    <t>Clean cooking investment need to 2030 (global / SSA)</t>
  </si>
  <si>
    <t>USD 8 bn/yr / up to USD 4 bn</t>
  </si>
  <si>
    <t>IEA (2023)</t>
  </si>
  <si>
    <t>Clean cooking current investment</t>
  </si>
  <si>
    <t>~USD 2.5 bn/yr (~30% of need)</t>
  </si>
  <si>
    <t>Momentum &amp; the market</t>
  </si>
  <si>
    <t>IEA Summit on Clean Cooking in Africa — committed</t>
  </si>
  <si>
    <t>USD 2.2 bn (2024) + USD 900 m since</t>
  </si>
  <si>
    <t>Clean cooking on high-level agendas</t>
  </si>
  <si>
    <t>G7, G20, COP</t>
  </si>
  <si>
    <t>Carbon finance discount on clean-cooking appliance</t>
  </si>
  <si>
    <t>50–90% of up-front cost</t>
  </si>
  <si>
    <t>Carbon Pulse (2026)</t>
  </si>
  <si>
    <t>Distributor reached before collapse (carbon = the business)</t>
  </si>
  <si>
    <t>&gt;1.3 million households</t>
  </si>
  <si>
    <t>Carbon Pulse (2026); Devex (2026)</t>
  </si>
  <si>
    <t>Article 6 activity (African governments)</t>
  </si>
  <si>
    <t>20+ LoAs; millions of credits</t>
  </si>
  <si>
    <t>Countries referencing Article 6 in NDCs</t>
  </si>
  <si>
    <t>60+</t>
  </si>
  <si>
    <t>Sovereign crediting pilot (independent standards)</t>
  </si>
  <si>
    <t>Article 6.2 Crediting Protocol</t>
  </si>
  <si>
    <t>NCCS et al. (2025)</t>
  </si>
  <si>
    <t>Worked examples (see Worked Examples tab)</t>
  </si>
  <si>
    <t>India — without safely managed sanitation</t>
  </si>
  <si>
    <t>~535 million</t>
  </si>
  <si>
    <t>India — sewage treated</t>
  </si>
  <si>
    <t>~28%</t>
  </si>
  <si>
    <t>India — urban sanitation mission (2021–26)</t>
  </si>
  <si>
    <t>~USD 17 billion</t>
  </si>
  <si>
    <t>India — electric cooking target</t>
  </si>
  <si>
    <t>25% of households by 2030</t>
  </si>
  <si>
    <t>Niger — open defecation</t>
  </si>
  <si>
    <t>~66% (highest globally)</t>
  </si>
  <si>
    <t>Niger — SDG 6.1/6.2 cost / spend (2017–20) / residual</t>
  </si>
  <si>
    <t>$1.87 bn / $167 m / ~$1.69 bn</t>
  </si>
  <si>
    <t>UNICEF (n.d.); derived</t>
  </si>
  <si>
    <t>Framing anchor</t>
  </si>
  <si>
    <t>NDC ambition trajectory</t>
  </si>
  <si>
    <t>“bending the curve… but not quickly enough”</t>
  </si>
  <si>
    <t>UNFCCC (2025)</t>
  </si>
  <si>
    <t>Basic services in conditional NDCs (general trend)</t>
  </si>
  <si>
    <t>98 of 131 countries with cooking measures</t>
  </si>
  <si>
    <t>Project study; CCA (2026)</t>
  </si>
  <si>
    <t>References (APA)</t>
  </si>
  <si>
    <t>Carbon Pulse. (2026). Coverage of KOKO Networks and clean-cooking business models. Carbon Pulse.</t>
  </si>
  <si>
    <t>Center for Strategic and International Studies [CSIS]. (2024). India’s water and sanitation 3.0. CSIS.</t>
  </si>
  <si>
    <t>Clean Cooking Alliance [CCA]. (2026). NDC tracker. CCA.</t>
  </si>
  <si>
    <t>Devex. (2026). Reporting on the closure of KOKO Networks. Devex.</t>
  </si>
  <si>
    <t>Energy Sector Management Assistance Program [ESMAP]. (2025). Mission 300: National energy compacts. World Bank/ESMAP.</t>
  </si>
  <si>
    <t>Government of Niger. (2025). Article 6.4 authorisation form (A6.4-FORM-GOV-001). UNFCCC.</t>
  </si>
  <si>
    <t>Hutton, G., &amp; Varughese, M. (2016). The costs of meeting the 2030 SDG targets on WASH. World Bank.</t>
  </si>
  <si>
    <t>IndiaSpend. (2025). Why India needs to overhaul its sewage treatment. IndiaSpend.</t>
  </si>
  <si>
    <t>International Energy Agency [IEA]. (2023). A vision for clean cooking access for all. IEA.</t>
  </si>
  <si>
    <t>International Energy Agency [IEA]. (2025). Universal access to clean cooking in Africa. IEA.</t>
  </si>
  <si>
    <t>IEA, IRENA, UNSD, World Bank, &amp; WHO. (2026). Tracking SDG 7: The energy progress report. World Bank.</t>
  </si>
  <si>
    <t>Modern Energy Cooking Services [MECS]. (2025). Status of eCooking in India: A snapshot. MECS.</t>
  </si>
  <si>
    <t>National Climate Change Secretariat (Singapore), Gold Standard, &amp; Verra. (2025). Article 6.2 crediting protocol. NCCS.</t>
  </si>
  <si>
    <t>UNICEF. (n.d.). WASH — Niger; and WASH budget analysis (Niger). UNICEF.</t>
  </si>
  <si>
    <t>United Nations Framework Convention on Climate Change [UNFCCC]. (2025). NDC synthesis report (FCCC/PA/CMA/2025/8). UNFCCC.</t>
  </si>
  <si>
    <t>World Bank. (2024). Funding a water-secure future. World Bank.</t>
  </si>
  <si>
    <t>World Health Organization &amp; UNICEF. (2025). Progress on household drinking water, sanitation and hygiene 2000–2024. JMP.</t>
  </si>
  <si>
    <t>Methodology, classification &amp; sources</t>
  </si>
  <si>
    <t>Deficit derivation (all services)</t>
  </si>
  <si>
    <t>• Pop without service = (100 − access%) × population (formula, col G). Cooking: CCA NDC Tracker access%. Electricity: WB/OWID (top-3 Reported SDG7 2024).</t>
  </si>
  <si>
    <t>• Water &amp; sanitation: safely-managed (SDG 6.1/6.2) where JMP measures it (water 29, sanitation 38); the rest have NO national estimate — the invisibility finding.</t>
  </si>
  <si>
    <t>• Populations: World Bank 2024 (approx). All figures provisional/derived. Cooking &amp; electricity 54-country totals ≈ global (≈2.0bn; ≈655m).</t>
  </si>
  <si>
    <t>Clean cooking — classification basis</t>
  </si>
  <si>
    <t>• The cooking Quantified count moved from 3 (floor) to 28, on documented sources: (a) Mission 300 National Energy Compacts, which ESMAP confirms include clean-cooking access targets with 2030 timelines (e.g., Kenya's compact: 100% clean cooking by 2030) — 24 of our countries; plus (b) documented national/NDC clean-cooking targets for Uganda (65% by 2030), Nepal (25% e-cooking by 2030), India (25% e-cooking by 2030, Green Shift; + Article 6 eligibility), Bangladesh (national action plan), Tanzania (NCCS 80% by 2034), Ghana (NDC cooking target).</t>
  </si>
  <si>
    <t>• Context: UN-Energy finds 72 countries globally include specific clean-cooking targets in NDCs — so 28 within our 54 is consistent and still conservative.</t>
  </si>
  <si>
    <t>• Caveat: for the Mission 300 group, ESMAP confirms compacts include clean-cooking targets, but the specific target % per compact should be confirmed individually before publication (some are explicit, e.g. Kenya 100%; others to verify).</t>
  </si>
  <si>
    <t>• Remaining General (25): CCA explicit/implicit cooking measure present but no confirmed quantified target (incl. China, Pakistan, Indonesia, several FCV states). None (1): Philippines — no cooking measure.</t>
  </si>
  <si>
    <t>NDC status — by service (strict rule)</t>
  </si>
  <si>
    <t>• Cooking: Quantified (28) documented target (Mission 300 compact or national/NDC); General (25) measure present, target unconfirmed; None (1) Philippines.</t>
  </si>
  <si>
    <t>• Electricity: Quantified (24) Mission 300 compact 2030 access target; General (17); N/A (13) basic access achieved.</t>
  </si>
  <si>
    <t>• Water: 0 confirmed quantified access targets — no tracker; WASH adaptation-framed (SIWI). Sanitation: 0 — the weakest; largely absent from NDCs.</t>
  </si>
  <si>
    <t>Invisibility &amp; the landing sector</t>
  </si>
  <si>
    <t>• Water: 25 of 54 lack a national safely-managed estimate (India, China, Kenya, PNG). Sanitation: 16 of 54 (Indonesia, Pakistan; NOT India/China). The dark set differs by service.</t>
  </si>
  <si>
    <t>• Sanitation is the largest deficit (global 3.4bn); India alone ~535m despite SBM. 'OD burden' flags the non-sewered-sanitation methane pathway that SAS is built to credit (GOBARdhan = animal/agri-waste, separate).</t>
  </si>
  <si>
    <t>Findings across all four services</t>
  </si>
  <si>
    <t>1. NDC-hook strength tracks methodology MATURITY: the two services with mature methodologies (cooking 28, electricity 24) both have strong quantified hooks; the two with new methodologies (water 0, sanitation 0) have none. The new methodologies create crediting capability exactly where the mandate architecture is missing — the thesis.</t>
  </si>
  <si>
    <t>2. Geographies of need differ: electricity is overwhelmingly sub-Saharan African; cooking, water and sanitation are broad. A country can be a major-deficit case for one service and solved/invisible for another — the case for crediting the household BASKET.</t>
  </si>
  <si>
    <t>3. Measurement invisibility is real and service-specific (25 dark on water, 16 on sanitation, different members) — the gap the new methodologies close.</t>
  </si>
  <si>
    <t>Sources</t>
  </si>
  <si>
    <t>Cooking: Clean Cooking Alliance NDC Tracker — https://cleancooking.org/ndc-tracker/ ; Mission 300 compacts (clean-cooking targets) — https://www.esmap.org/Mission300 ; MECS NDC cooking analysis — https://mecs.org.uk/blog/nationally-determined-contributions-and-clean-cooking/</t>
  </si>
  <si>
    <t>Cooking targets context (72 countries): UN-Energy — https://sdgs.un.org/sites/default/files/2023-07/UN-Energy%20Policy%20Brief%20-%20Clean%20Cooking%20Netzero%20pathway-%207-12-23%20clean%20with%20cover%20page2_0.pdf</t>
  </si>
  <si>
    <t>Electricity access: WB/OWID; Mission 300 — https://gogla.org/mission300/ . Water: JMP via https://en.wikipedia.org/wiki/List_of_countries_by_access_to_clean_water</t>
  </si>
  <si>
    <t>Sanitation: OWID/JMP — https://ourworldindata.org/grapher/share-using-safely-managed-sanitation . Water in NDCs: SIWI. Populations: World Bank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</si>
</sst>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8">
    <font>
      <sz val="11"/>
      <color theme="1"/>
      <name val="Calibri"/>
      <family val="2"/>
      <charset val="1"/>
    </font>
    <font>
      <sz val="11"/>
      <name val="Verdana"/>
      <charset val="1"/>
    </font>
    <font>
      <b/>
      <sz val="22"/>
      <color rgb="FF00B9BD"/>
      <name val="Verdana"/>
      <charset val="1"/>
    </font>
    <font>
      <i/>
      <sz val="11"/>
      <color rgb="FF595959"/>
      <name val="Verdana"/>
      <charset val="1"/>
    </font>
    <font>
      <b/>
      <sz val="10"/>
      <color rgb="FF1A1A1A"/>
      <name val="Verdana"/>
      <charset val="1"/>
    </font>
    <font>
      <sz val="10"/>
      <color rgb="FF1A1A1A"/>
      <name val="Verdana"/>
      <charset val="1"/>
    </font>
    <font>
      <b/>
      <sz val="12"/>
      <color rgb="FF00B9BD"/>
      <name val="Verdana"/>
      <charset val="1"/>
    </font>
    <font>
      <b/>
      <sz val="10"/>
      <color rgb="FFFFFFFF"/>
      <name val="Verdana"/>
      <charset val="1"/>
    </font>
    <font>
      <i/>
      <sz val="10"/>
      <color rgb="FF1A1A1A"/>
      <name val="Verdana"/>
      <charset val="1"/>
    </font>
    <font>
      <b/>
      <sz val="14"/>
      <color rgb="FF00B9BD"/>
      <name val="Verdana"/>
      <charset val="1"/>
    </font>
    <font>
      <i/>
      <sz val="9"/>
      <color rgb="FF595959"/>
      <name val="Verdana"/>
      <charset val="1"/>
    </font>
    <font>
      <b/>
      <sz val="10"/>
      <color rgb="FF00B9BD"/>
      <name val="Verdana"/>
      <charset val="1"/>
    </font>
    <font>
      <b/>
      <sz val="9"/>
      <name val="Verdana"/>
      <charset val="1"/>
    </font>
    <font>
      <sz val="9"/>
      <name val="Verdana"/>
      <charset val="1"/>
    </font>
    <font>
      <b/>
      <sz val="9"/>
      <color rgb="FFFFFFFF"/>
      <name val="Verdana"/>
      <charset val="1"/>
    </font>
    <font>
      <b/>
      <sz val="9"/>
      <color rgb="FF515151"/>
      <name val="Verdana"/>
      <charset val="1"/>
    </font>
    <font>
      <b/>
      <sz val="10"/>
      <color rgb="FF515151"/>
      <name val="Verdana"/>
      <charset val="1"/>
    </font>
    <font>
      <i/>
      <sz val="8"/>
      <color rgb="FF515151"/>
      <name val="Verdana"/>
      <charset val="1"/>
    </font>
  </fonts>
  <fills count="9">
    <fill>
      <patternFill patternType="none"/>
    </fill>
    <fill>
      <patternFill patternType="gray125"/>
    </fill>
    <fill>
      <patternFill patternType="solid">
        <fgColor rgb="FF00B9BD"/>
        <bgColor rgb="FF33CCCC"/>
      </patternFill>
    </fill>
    <fill>
      <patternFill patternType="solid">
        <fgColor rgb="FFE6E5E5"/>
        <bgColor rgb="FFF2F2F2"/>
      </patternFill>
    </fill>
    <fill>
      <patternFill patternType="solid">
        <fgColor rgb="FFEEF2CE"/>
        <bgColor rgb="FFF2F2F2"/>
      </patternFill>
    </fill>
    <fill>
      <patternFill patternType="solid">
        <fgColor rgb="FFD9F3F4"/>
        <bgColor rgb="FFE3F6F7"/>
      </patternFill>
    </fill>
    <fill>
      <patternFill patternType="solid">
        <fgColor rgb="FFF2F2F2"/>
        <bgColor rgb="FFE3F6F7"/>
      </patternFill>
    </fill>
    <fill>
      <patternFill patternType="solid">
        <fgColor rgb="FFE3F6F7"/>
        <bgColor rgb="FFD9F3F4"/>
      </patternFill>
    </fill>
    <fill>
      <patternFill patternType="solid">
        <fgColor rgb="FF097E80"/>
        <bgColor rgb="FF00808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Alignment="1">
      <alignment vertical="top" wrapText="1"/>
    </xf>
    <xf numFmtId="0" fontId="11" fillId="7" borderId="0" xfId="0" applyFont="1" applyFill="1" applyAlignment="1">
      <alignment vertical="top" wrapText="1"/>
    </xf>
    <xf numFmtId="0" fontId="10" fillId="0" borderId="0" xfId="0" applyFont="1" applyAlignment="1">
      <alignment vertical="top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top" wrapText="1"/>
    </xf>
    <xf numFmtId="0" fontId="7" fillId="2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vertical="top"/>
    </xf>
    <xf numFmtId="0" fontId="5" fillId="3" borderId="2" xfId="0" applyFont="1" applyFill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right"/>
    </xf>
    <xf numFmtId="0" fontId="5" fillId="4" borderId="2" xfId="0" applyFont="1" applyFill="1" applyBorder="1" applyAlignment="1">
      <alignment vertical="top" wrapText="1"/>
    </xf>
    <xf numFmtId="0" fontId="5" fillId="5" borderId="2" xfId="0" applyFont="1" applyFill="1" applyBorder="1" applyAlignment="1">
      <alignment vertical="top" wrapText="1"/>
    </xf>
    <xf numFmtId="0" fontId="5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164" fontId="5" fillId="6" borderId="2" xfId="0" applyNumberFormat="1" applyFont="1" applyFill="1" applyBorder="1" applyAlignment="1">
      <alignment horizontal="center"/>
    </xf>
    <xf numFmtId="164" fontId="5" fillId="5" borderId="2" xfId="0" applyNumberFormat="1" applyFont="1" applyFill="1" applyBorder="1" applyAlignment="1">
      <alignment horizontal="center"/>
    </xf>
    <xf numFmtId="0" fontId="11" fillId="7" borderId="0" xfId="0" applyFont="1" applyFill="1"/>
    <xf numFmtId="0" fontId="12" fillId="5" borderId="3" xfId="0" applyFont="1" applyFill="1" applyBorder="1"/>
    <xf numFmtId="0" fontId="13" fillId="0" borderId="3" xfId="0" applyFont="1" applyBorder="1" applyAlignment="1">
      <alignment horizontal="center"/>
    </xf>
    <xf numFmtId="3" fontId="13" fillId="0" borderId="3" xfId="0" applyNumberFormat="1" applyFont="1" applyBorder="1" applyAlignment="1">
      <alignment horizontal="center"/>
    </xf>
    <xf numFmtId="0" fontId="12" fillId="4" borderId="3" xfId="0" applyFont="1" applyFill="1" applyBorder="1"/>
    <xf numFmtId="0" fontId="12" fillId="6" borderId="3" xfId="0" applyFont="1" applyFill="1" applyBorder="1"/>
    <xf numFmtId="0" fontId="14" fillId="8" borderId="0" xfId="0" applyFont="1" applyFill="1"/>
    <xf numFmtId="0" fontId="7" fillId="8" borderId="3" xfId="0" applyFont="1" applyFill="1" applyBorder="1" applyAlignment="1">
      <alignment horizontal="center"/>
    </xf>
    <xf numFmtId="3" fontId="7" fillId="8" borderId="3" xfId="0" applyNumberFormat="1" applyFont="1" applyFill="1" applyBorder="1" applyAlignment="1">
      <alignment horizontal="center"/>
    </xf>
    <xf numFmtId="0" fontId="15" fillId="4" borderId="0" xfId="0" applyFont="1" applyFill="1"/>
    <xf numFmtId="0" fontId="1" fillId="4" borderId="0" xfId="0" applyFont="1" applyFill="1"/>
    <xf numFmtId="3" fontId="16" fillId="4" borderId="0" xfId="0" applyNumberFormat="1" applyFont="1" applyFill="1" applyAlignment="1">
      <alignment horizontal="center"/>
    </xf>
    <xf numFmtId="0" fontId="12" fillId="3" borderId="3" xfId="0" applyFont="1" applyFill="1" applyBorder="1"/>
    <xf numFmtId="0" fontId="12" fillId="0" borderId="3" xfId="0" applyFont="1" applyBorder="1" applyAlignment="1">
      <alignment horizontal="left" vertical="center" wrapText="1"/>
    </xf>
    <xf numFmtId="2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5" fillId="4" borderId="3" xfId="0" applyFont="1" applyFill="1" applyBorder="1" applyAlignment="1">
      <alignment vertical="top" wrapText="1"/>
    </xf>
    <xf numFmtId="0" fontId="11" fillId="7" borderId="3" xfId="0" applyFont="1" applyFill="1" applyBorder="1"/>
    <xf numFmtId="0" fontId="9" fillId="0" borderId="0" xfId="0" applyFont="1" applyAlignment="1">
      <alignment vertical="top" wrapText="1"/>
    </xf>
    <xf numFmtId="0" fontId="11" fillId="0" borderId="0" xfId="0" applyFont="1"/>
    <xf numFmtId="0" fontId="17" fillId="0" borderId="0" xfId="0" applyFont="1" applyAlignment="1">
      <alignment vertical="top" wrapText="1"/>
    </xf>
    <xf numFmtId="0" fontId="11" fillId="7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97E80"/>
      <rgbColor rgb="FFBFBFBF"/>
      <rgbColor rgb="FF808080"/>
      <rgbColor rgb="FF9999FF"/>
      <rgbColor rgb="FF993366"/>
      <rgbColor rgb="FFEEF2CE"/>
      <rgbColor rgb="FFD9F3F4"/>
      <rgbColor rgb="FF660066"/>
      <rgbColor rgb="FFFF8080"/>
      <rgbColor rgb="FF0066CC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9BD"/>
      <rgbColor rgb="FFE3F6F7"/>
      <rgbColor rgb="FFE6E5E5"/>
      <rgbColor rgb="FFF2F2F2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515151"/>
      <rgbColor rgb="FF1A1A1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1866240</xdr:colOff>
      <xdr:row>1</xdr:row>
      <xdr:rowOff>304200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1320" y="0"/>
          <a:ext cx="1866240" cy="4755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9BD"/>
    <pageSetUpPr fitToPage="1"/>
  </sheetPr>
  <dimension ref="A1:C35"/>
  <sheetViews>
    <sheetView showGridLines="0" tabSelected="1" topLeftCell="A30" zoomScaleNormal="100" workbookViewId="0">
      <selection activeCell="E10" sqref="E10"/>
    </sheetView>
  </sheetViews>
  <sheetFormatPr defaultColWidth="8.5703125" defaultRowHeight="14.25"/>
  <cols>
    <col min="1" max="1" width="3" customWidth="1"/>
    <col min="2" max="2" width="30" customWidth="1"/>
    <col min="3" max="3" width="78" customWidth="1"/>
  </cols>
  <sheetData>
    <row r="1" spans="1:3" ht="13.5" customHeight="1">
      <c r="A1" s="4"/>
      <c r="B1" s="4"/>
      <c r="C1" s="4"/>
    </row>
    <row r="2" spans="1:3" ht="45.75" customHeight="1">
      <c r="A2" s="4"/>
      <c r="B2" s="4"/>
      <c r="C2" s="4"/>
    </row>
    <row r="3" spans="1:3" ht="15" customHeight="1">
      <c r="A3" s="4"/>
      <c r="B3" s="4"/>
      <c r="C3" s="4"/>
    </row>
    <row r="4" spans="1:3" ht="30" customHeight="1">
      <c r="A4" s="4"/>
      <c r="B4" s="5" t="s">
        <v>0</v>
      </c>
      <c r="C4" s="4"/>
    </row>
    <row r="5" spans="1:3" ht="15" customHeight="1">
      <c r="A5" s="4"/>
      <c r="B5" s="6" t="s">
        <v>1</v>
      </c>
      <c r="C5" s="4"/>
    </row>
    <row r="6" spans="1:3" ht="15" customHeight="1">
      <c r="A6" s="4"/>
      <c r="B6" s="4"/>
      <c r="C6" s="4"/>
    </row>
    <row r="7" spans="1:3" ht="15" customHeight="1">
      <c r="A7" s="4"/>
      <c r="B7" s="7" t="s">
        <v>2</v>
      </c>
      <c r="C7" s="8" t="s">
        <v>3</v>
      </c>
    </row>
    <row r="8" spans="1:3" ht="14.25" customHeight="1">
      <c r="A8" s="4"/>
      <c r="B8" s="7" t="s">
        <v>4</v>
      </c>
      <c r="C8" s="8" t="s">
        <v>5</v>
      </c>
    </row>
    <row r="9" spans="1:3" ht="15" customHeight="1">
      <c r="A9" s="4"/>
      <c r="B9" s="7" t="s">
        <v>6</v>
      </c>
      <c r="C9" s="8" t="s">
        <v>7</v>
      </c>
    </row>
    <row r="10" spans="1:3" ht="78" customHeight="1">
      <c r="A10" s="4"/>
      <c r="B10" s="4"/>
      <c r="C10" s="4"/>
    </row>
    <row r="11" spans="1:3" ht="15" customHeight="1">
      <c r="A11" s="4"/>
      <c r="B11" s="9" t="s">
        <v>8</v>
      </c>
      <c r="C11" s="4"/>
    </row>
    <row r="12" spans="1:3" ht="15" customHeight="1">
      <c r="A12" s="4"/>
      <c r="B12" s="4"/>
      <c r="C12" s="10" t="s">
        <v>9</v>
      </c>
    </row>
    <row r="13" spans="1:3" ht="15" customHeight="1">
      <c r="A13" s="4"/>
      <c r="B13" s="4"/>
      <c r="C13" s="4"/>
    </row>
    <row r="14" spans="1:3" ht="15" customHeight="1">
      <c r="A14" s="4"/>
      <c r="B14" s="9" t="s">
        <v>10</v>
      </c>
      <c r="C14" s="4"/>
    </row>
    <row r="15" spans="1:3" ht="15" customHeight="1">
      <c r="A15" s="4"/>
      <c r="B15" s="11" t="s">
        <v>11</v>
      </c>
      <c r="C15" s="11" t="s">
        <v>12</v>
      </c>
    </row>
    <row r="16" spans="1:3" ht="15" customHeight="1">
      <c r="A16" s="4"/>
      <c r="B16" s="12" t="s">
        <v>13</v>
      </c>
      <c r="C16" s="13" t="s">
        <v>14</v>
      </c>
    </row>
    <row r="17" spans="1:3" ht="15" customHeight="1">
      <c r="A17" s="4"/>
      <c r="B17" s="12" t="s">
        <v>15</v>
      </c>
      <c r="C17" s="13" t="s">
        <v>16</v>
      </c>
    </row>
    <row r="18" spans="1:3" ht="15" customHeight="1">
      <c r="A18" s="4"/>
      <c r="B18" s="12" t="s">
        <v>17</v>
      </c>
      <c r="C18" s="13" t="s">
        <v>18</v>
      </c>
    </row>
    <row r="19" spans="1:3" ht="15" customHeight="1">
      <c r="A19" s="4"/>
      <c r="B19" s="12" t="s">
        <v>19</v>
      </c>
      <c r="C19" s="13" t="s">
        <v>20</v>
      </c>
    </row>
    <row r="20" spans="1:3" ht="15" customHeight="1">
      <c r="A20" s="4"/>
      <c r="B20" s="12" t="s">
        <v>21</v>
      </c>
      <c r="C20" s="13" t="s">
        <v>22</v>
      </c>
    </row>
    <row r="21" spans="1:3" ht="15" customHeight="1">
      <c r="A21" s="4"/>
      <c r="B21" s="12" t="s">
        <v>23</v>
      </c>
      <c r="C21" s="13" t="s">
        <v>24</v>
      </c>
    </row>
    <row r="22" spans="1:3" ht="14.25" customHeight="1">
      <c r="A22" s="4"/>
      <c r="B22" s="12" t="s">
        <v>25</v>
      </c>
      <c r="C22" s="13" t="s">
        <v>26</v>
      </c>
    </row>
    <row r="23" spans="1:3" ht="15" customHeight="1">
      <c r="A23" s="4"/>
      <c r="B23" s="12" t="s">
        <v>27</v>
      </c>
      <c r="C23" s="13" t="s">
        <v>28</v>
      </c>
    </row>
    <row r="24" spans="1:3" ht="30" customHeight="1">
      <c r="A24" s="4"/>
      <c r="B24" s="4"/>
      <c r="C24" s="4"/>
    </row>
    <row r="25" spans="1:3" ht="15" customHeight="1">
      <c r="A25" s="4"/>
      <c r="B25" s="9" t="s">
        <v>29</v>
      </c>
      <c r="C25" s="4"/>
    </row>
    <row r="26" spans="1:3" ht="15" customHeight="1">
      <c r="A26" s="4"/>
      <c r="B26" s="4"/>
      <c r="C26" s="14" t="s">
        <v>30</v>
      </c>
    </row>
    <row r="27" spans="1:3" ht="27.75" customHeight="1">
      <c r="A27" s="4"/>
      <c r="B27" s="4"/>
      <c r="C27" s="4"/>
    </row>
    <row r="28" spans="1:3" ht="27.75" customHeight="1">
      <c r="A28" s="4"/>
      <c r="B28" s="9" t="s">
        <v>31</v>
      </c>
      <c r="C28" s="4"/>
    </row>
    <row r="29" spans="1:3" ht="27.75" customHeight="1">
      <c r="A29" s="4"/>
      <c r="B29" s="15" t="s">
        <v>32</v>
      </c>
      <c r="C29" s="10" t="s">
        <v>33</v>
      </c>
    </row>
    <row r="30" spans="1:3" ht="15" customHeight="1">
      <c r="A30" s="4"/>
      <c r="B30" s="15" t="s">
        <v>32</v>
      </c>
      <c r="C30" s="10" t="s">
        <v>34</v>
      </c>
    </row>
    <row r="31" spans="1:3" ht="24.75" customHeight="1">
      <c r="A31" s="4"/>
      <c r="B31" s="15" t="s">
        <v>32</v>
      </c>
      <c r="C31" s="10" t="s">
        <v>35</v>
      </c>
    </row>
    <row r="32" spans="1:3" ht="15" customHeight="1">
      <c r="A32" s="4"/>
      <c r="B32" s="15" t="s">
        <v>32</v>
      </c>
      <c r="C32" s="10" t="s">
        <v>36</v>
      </c>
    </row>
    <row r="33" spans="1:3" ht="82.5" customHeight="1">
      <c r="A33" s="4"/>
      <c r="B33" s="4"/>
      <c r="C33" s="4"/>
    </row>
    <row r="34" spans="1:3" ht="14.25" customHeight="1">
      <c r="A34" s="4"/>
      <c r="B34" s="9" t="s">
        <v>37</v>
      </c>
      <c r="C34" s="4"/>
    </row>
    <row r="35" spans="1:3" ht="48.75" customHeight="1">
      <c r="A35" s="4"/>
      <c r="B35" s="4"/>
      <c r="C35" s="10" t="s">
        <v>38</v>
      </c>
    </row>
  </sheetData>
  <pageMargins left="0.75" right="0.75" top="1" bottom="1" header="0.511811023622047" footer="0.5"/>
  <pageSetup fitToHeight="0" orientation="portrait" horizontalDpi="300" verticalDpi="300"/>
  <headerFooter>
    <oddFooter>&amp;LGold Standard · Basic-Services Index v2.0&amp;R&amp;P of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9BD"/>
    <pageSetUpPr fitToPage="1"/>
  </sheetPr>
  <dimension ref="A1:L58"/>
  <sheetViews>
    <sheetView showGridLines="0" zoomScaleNormal="100" workbookViewId="0">
      <pane xSplit="2" ySplit="4" topLeftCell="C49" activePane="bottomRight" state="frozen"/>
      <selection pane="bottomRight" activeCell="J3" sqref="J3"/>
      <selection pane="bottomLeft" activeCell="A49" sqref="A49"/>
      <selection pane="topRight" activeCell="C1" sqref="C1"/>
    </sheetView>
  </sheetViews>
  <sheetFormatPr defaultColWidth="8.7109375" defaultRowHeight="14.25"/>
  <cols>
    <col min="1" max="1" width="4" customWidth="1"/>
    <col min="2" max="2" width="20" customWidth="1"/>
    <col min="3" max="3" width="10" customWidth="1"/>
    <col min="4" max="4" width="6" customWidth="1"/>
    <col min="5" max="5" width="11" customWidth="1"/>
    <col min="6" max="6" width="9" customWidth="1"/>
    <col min="7" max="7" width="13" customWidth="1"/>
    <col min="8" max="8" width="31.42578125" customWidth="1"/>
    <col min="9" max="9" width="13" customWidth="1"/>
    <col min="10" max="10" width="44" customWidth="1"/>
    <col min="11" max="11" width="34" customWidth="1"/>
    <col min="12" max="12" width="28" customWidth="1"/>
  </cols>
  <sheetData>
    <row r="1" spans="1:12" ht="15.75" customHeight="1">
      <c r="A1" s="16" t="s">
        <v>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45.75" customHeight="1">
      <c r="A2" s="3" t="s">
        <v>40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4.2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30" customHeight="1">
      <c r="A4" s="17" t="s">
        <v>41</v>
      </c>
      <c r="B4" s="17" t="s">
        <v>42</v>
      </c>
      <c r="C4" s="17" t="s">
        <v>43</v>
      </c>
      <c r="D4" s="17" t="s">
        <v>44</v>
      </c>
      <c r="E4" s="17" t="s">
        <v>45</v>
      </c>
      <c r="F4" s="17" t="s">
        <v>46</v>
      </c>
      <c r="G4" s="17" t="s">
        <v>47</v>
      </c>
      <c r="H4" s="17" t="s">
        <v>48</v>
      </c>
      <c r="I4" s="17" t="s">
        <v>49</v>
      </c>
      <c r="J4" s="17" t="s">
        <v>50</v>
      </c>
      <c r="K4" s="17" t="s">
        <v>51</v>
      </c>
      <c r="L4" s="4"/>
    </row>
    <row r="5" spans="1:12" ht="21.75" customHeight="1">
      <c r="A5" s="18">
        <v>1</v>
      </c>
      <c r="B5" s="19" t="s">
        <v>52</v>
      </c>
      <c r="C5" s="19" t="s">
        <v>53</v>
      </c>
      <c r="D5" s="20" t="s">
        <v>54</v>
      </c>
      <c r="E5" s="21">
        <v>50</v>
      </c>
      <c r="F5" s="22">
        <v>37.9</v>
      </c>
      <c r="G5" s="22">
        <f>ROUND((1-E5/100)*F5,1)</f>
        <v>19</v>
      </c>
      <c r="H5" s="13" t="s">
        <v>55</v>
      </c>
      <c r="I5" s="23" t="s">
        <v>56</v>
      </c>
      <c r="J5" s="13" t="s">
        <v>57</v>
      </c>
      <c r="K5" s="13"/>
      <c r="L5" s="4"/>
    </row>
    <row r="6" spans="1:12" ht="21.75" customHeight="1">
      <c r="A6" s="18">
        <v>2</v>
      </c>
      <c r="B6" s="19" t="s">
        <v>58</v>
      </c>
      <c r="C6" s="19" t="s">
        <v>53</v>
      </c>
      <c r="D6" s="20" t="s">
        <v>54</v>
      </c>
      <c r="E6" s="21">
        <v>4.5999999999999996</v>
      </c>
      <c r="F6" s="22">
        <v>14.5</v>
      </c>
      <c r="G6" s="22">
        <f>ROUND((1-E6/100)*F6,1)</f>
        <v>13.8</v>
      </c>
      <c r="H6" s="13" t="s">
        <v>55</v>
      </c>
      <c r="I6" s="24" t="s">
        <v>59</v>
      </c>
      <c r="J6" s="13" t="s">
        <v>60</v>
      </c>
      <c r="K6" s="13"/>
      <c r="L6" s="4"/>
    </row>
    <row r="7" spans="1:12" ht="21.75" customHeight="1">
      <c r="A7" s="18">
        <v>3</v>
      </c>
      <c r="B7" s="19" t="s">
        <v>61</v>
      </c>
      <c r="C7" s="19" t="s">
        <v>53</v>
      </c>
      <c r="D7" s="20" t="s">
        <v>54</v>
      </c>
      <c r="E7" s="21">
        <v>11.7</v>
      </c>
      <c r="F7" s="22">
        <v>23.5</v>
      </c>
      <c r="G7" s="22">
        <f>ROUND((1-E7/100)*F7,1)</f>
        <v>20.8</v>
      </c>
      <c r="H7" s="13" t="s">
        <v>55</v>
      </c>
      <c r="I7" s="23" t="s">
        <v>56</v>
      </c>
      <c r="J7" s="13" t="s">
        <v>57</v>
      </c>
      <c r="K7" s="13" t="s">
        <v>62</v>
      </c>
      <c r="L7" s="4"/>
    </row>
    <row r="8" spans="1:12" ht="21.75" customHeight="1">
      <c r="A8" s="18">
        <v>4</v>
      </c>
      <c r="B8" s="19" t="s">
        <v>63</v>
      </c>
      <c r="C8" s="19" t="s">
        <v>53</v>
      </c>
      <c r="D8" s="20" t="s">
        <v>54</v>
      </c>
      <c r="E8" s="21">
        <v>0.2</v>
      </c>
      <c r="F8" s="22">
        <v>13.2</v>
      </c>
      <c r="G8" s="22">
        <f>ROUND((1-E8/100)*F8,1)</f>
        <v>13.2</v>
      </c>
      <c r="H8" s="13" t="s">
        <v>55</v>
      </c>
      <c r="I8" s="24" t="s">
        <v>59</v>
      </c>
      <c r="J8" s="13" t="s">
        <v>60</v>
      </c>
      <c r="K8" s="13"/>
      <c r="L8" s="4"/>
    </row>
    <row r="9" spans="1:12" ht="21.75" customHeight="1">
      <c r="A9" s="18">
        <v>5</v>
      </c>
      <c r="B9" s="19" t="s">
        <v>64</v>
      </c>
      <c r="C9" s="19" t="s">
        <v>53</v>
      </c>
      <c r="D9" s="20" t="s">
        <v>54</v>
      </c>
      <c r="E9" s="21">
        <v>0.9</v>
      </c>
      <c r="F9" s="22">
        <v>5.6</v>
      </c>
      <c r="G9" s="22">
        <f>ROUND((1-E9/100)*F9,1)</f>
        <v>5.5</v>
      </c>
      <c r="H9" s="13" t="s">
        <v>55</v>
      </c>
      <c r="I9" s="23" t="s">
        <v>56</v>
      </c>
      <c r="J9" s="13" t="s">
        <v>65</v>
      </c>
      <c r="K9" s="13" t="s">
        <v>62</v>
      </c>
      <c r="L9" s="4"/>
    </row>
    <row r="10" spans="1:12" ht="21.75" customHeight="1">
      <c r="A10" s="18">
        <v>6</v>
      </c>
      <c r="B10" s="19" t="s">
        <v>66</v>
      </c>
      <c r="C10" s="19" t="s">
        <v>53</v>
      </c>
      <c r="D10" s="20" t="s">
        <v>54</v>
      </c>
      <c r="E10" s="21">
        <v>8</v>
      </c>
      <c r="F10" s="22">
        <v>19.3</v>
      </c>
      <c r="G10" s="22">
        <f>ROUND((1-E10/100)*F10,1)</f>
        <v>17.8</v>
      </c>
      <c r="H10" s="13" t="s">
        <v>55</v>
      </c>
      <c r="I10" s="24" t="s">
        <v>59</v>
      </c>
      <c r="J10" s="13" t="s">
        <v>60</v>
      </c>
      <c r="K10" s="13" t="s">
        <v>62</v>
      </c>
      <c r="L10" s="4"/>
    </row>
    <row r="11" spans="1:12" ht="21.75" customHeight="1">
      <c r="A11" s="18">
        <v>7</v>
      </c>
      <c r="B11" s="19" t="s">
        <v>67</v>
      </c>
      <c r="C11" s="19" t="s">
        <v>53</v>
      </c>
      <c r="D11" s="20" t="s">
        <v>54</v>
      </c>
      <c r="E11" s="21">
        <v>11.3</v>
      </c>
      <c r="F11" s="22">
        <v>0.85</v>
      </c>
      <c r="G11" s="22">
        <f>ROUND((1-E11/100)*F11,1)</f>
        <v>0.8</v>
      </c>
      <c r="H11" s="13" t="s">
        <v>55</v>
      </c>
      <c r="I11" s="24" t="s">
        <v>59</v>
      </c>
      <c r="J11" s="13" t="s">
        <v>60</v>
      </c>
      <c r="K11" s="13"/>
      <c r="L11" s="4"/>
    </row>
    <row r="12" spans="1:12" ht="21.75" customHeight="1">
      <c r="A12" s="18">
        <v>8</v>
      </c>
      <c r="B12" s="19" t="s">
        <v>68</v>
      </c>
      <c r="C12" s="19" t="s">
        <v>53</v>
      </c>
      <c r="D12" s="20" t="s">
        <v>54</v>
      </c>
      <c r="E12" s="21">
        <v>4.3</v>
      </c>
      <c r="F12" s="22">
        <v>105.8</v>
      </c>
      <c r="G12" s="22">
        <f>ROUND((1-E12/100)*F12,1)</f>
        <v>101.3</v>
      </c>
      <c r="H12" s="13" t="s">
        <v>55</v>
      </c>
      <c r="I12" s="24" t="s">
        <v>59</v>
      </c>
      <c r="J12" s="13" t="s">
        <v>60</v>
      </c>
      <c r="K12" s="13" t="s">
        <v>62</v>
      </c>
      <c r="L12" s="4"/>
    </row>
    <row r="13" spans="1:12" ht="21.75" customHeight="1">
      <c r="A13" s="18">
        <v>9</v>
      </c>
      <c r="B13" s="19" t="s">
        <v>69</v>
      </c>
      <c r="C13" s="19" t="s">
        <v>53</v>
      </c>
      <c r="D13" s="20" t="s">
        <v>54</v>
      </c>
      <c r="E13" s="21">
        <v>9.6</v>
      </c>
      <c r="F13" s="22">
        <v>1.1399999999999999</v>
      </c>
      <c r="G13" s="22">
        <f>ROUND((1-E13/100)*F13,1)</f>
        <v>1</v>
      </c>
      <c r="H13" s="13" t="s">
        <v>55</v>
      </c>
      <c r="I13" s="23" t="s">
        <v>56</v>
      </c>
      <c r="J13" s="13" t="s">
        <v>70</v>
      </c>
      <c r="K13" s="13"/>
      <c r="L13" s="4"/>
    </row>
    <row r="14" spans="1:12" ht="21.75" customHeight="1">
      <c r="A14" s="18">
        <v>10</v>
      </c>
      <c r="B14" s="19" t="s">
        <v>71</v>
      </c>
      <c r="C14" s="19" t="s">
        <v>53</v>
      </c>
      <c r="D14" s="20" t="s">
        <v>54</v>
      </c>
      <c r="E14" s="21">
        <v>11.5</v>
      </c>
      <c r="F14" s="22">
        <v>3.7</v>
      </c>
      <c r="G14" s="22">
        <f>ROUND((1-E14/100)*F14,1)</f>
        <v>3.3</v>
      </c>
      <c r="H14" s="13" t="s">
        <v>55</v>
      </c>
      <c r="I14" s="23" t="s">
        <v>56</v>
      </c>
      <c r="J14" s="13" t="s">
        <v>65</v>
      </c>
      <c r="K14" s="13" t="s">
        <v>72</v>
      </c>
      <c r="L14" s="4"/>
    </row>
    <row r="15" spans="1:12" ht="21.75" customHeight="1">
      <c r="A15" s="18">
        <v>11</v>
      </c>
      <c r="B15" s="19" t="s">
        <v>73</v>
      </c>
      <c r="C15" s="19" t="s">
        <v>53</v>
      </c>
      <c r="D15" s="20" t="s">
        <v>54</v>
      </c>
      <c r="E15" s="21">
        <v>7.5</v>
      </c>
      <c r="F15" s="22">
        <v>129.69999999999999</v>
      </c>
      <c r="G15" s="22">
        <f>ROUND((1-E15/100)*F15,1)</f>
        <v>120</v>
      </c>
      <c r="H15" s="13" t="s">
        <v>55</v>
      </c>
      <c r="I15" s="24" t="s">
        <v>59</v>
      </c>
      <c r="J15" s="13" t="s">
        <v>74</v>
      </c>
      <c r="K15" s="13"/>
      <c r="L15" s="4"/>
    </row>
    <row r="16" spans="1:12" ht="21.75" customHeight="1">
      <c r="A16" s="18">
        <v>12</v>
      </c>
      <c r="B16" s="19" t="s">
        <v>75</v>
      </c>
      <c r="C16" s="19" t="s">
        <v>53</v>
      </c>
      <c r="D16" s="20" t="s">
        <v>54</v>
      </c>
      <c r="E16" s="21">
        <v>1.7</v>
      </c>
      <c r="F16" s="22">
        <v>2.8</v>
      </c>
      <c r="G16" s="22">
        <f>ROUND((1-E16/100)*F16,1)</f>
        <v>2.8</v>
      </c>
      <c r="H16" s="13" t="s">
        <v>55</v>
      </c>
      <c r="I16" s="24" t="s">
        <v>59</v>
      </c>
      <c r="J16" s="13" t="s">
        <v>60</v>
      </c>
      <c r="K16" s="13"/>
      <c r="L16" s="4"/>
    </row>
    <row r="17" spans="1:12" ht="21.75" customHeight="1">
      <c r="A17" s="18">
        <v>13</v>
      </c>
      <c r="B17" s="19" t="s">
        <v>76</v>
      </c>
      <c r="C17" s="19" t="s">
        <v>53</v>
      </c>
      <c r="D17" s="20" t="s">
        <v>54</v>
      </c>
      <c r="E17" s="21">
        <v>1</v>
      </c>
      <c r="F17" s="22">
        <v>14.5</v>
      </c>
      <c r="G17" s="22">
        <f>ROUND((1-E17/100)*F17,1)</f>
        <v>14.4</v>
      </c>
      <c r="H17" s="13" t="s">
        <v>55</v>
      </c>
      <c r="I17" s="24" t="s">
        <v>59</v>
      </c>
      <c r="J17" s="13" t="s">
        <v>60</v>
      </c>
      <c r="K17" s="13"/>
      <c r="L17" s="4"/>
    </row>
    <row r="18" spans="1:12" ht="21.75" customHeight="1">
      <c r="A18" s="18">
        <v>14</v>
      </c>
      <c r="B18" s="19" t="s">
        <v>77</v>
      </c>
      <c r="C18" s="19" t="s">
        <v>53</v>
      </c>
      <c r="D18" s="20" t="s">
        <v>54</v>
      </c>
      <c r="E18" s="21">
        <v>1</v>
      </c>
      <c r="F18" s="22">
        <v>2.2000000000000002</v>
      </c>
      <c r="G18" s="22">
        <f>ROUND((1-E18/100)*F18,1)</f>
        <v>2.2000000000000002</v>
      </c>
      <c r="H18" s="13" t="s">
        <v>55</v>
      </c>
      <c r="I18" s="23" t="s">
        <v>56</v>
      </c>
      <c r="J18" s="13" t="s">
        <v>78</v>
      </c>
      <c r="K18" s="13"/>
      <c r="L18" s="4"/>
    </row>
    <row r="19" spans="1:12" ht="21.75" customHeight="1">
      <c r="A19" s="18">
        <v>15</v>
      </c>
      <c r="B19" s="19" t="s">
        <v>79</v>
      </c>
      <c r="C19" s="19" t="s">
        <v>53</v>
      </c>
      <c r="D19" s="20" t="s">
        <v>54</v>
      </c>
      <c r="E19" s="21">
        <v>41.1</v>
      </c>
      <c r="F19" s="22">
        <v>2.2999999999999998</v>
      </c>
      <c r="G19" s="22">
        <f>ROUND((1-E19/100)*F19,1)</f>
        <v>1.4</v>
      </c>
      <c r="H19" s="13" t="s">
        <v>55</v>
      </c>
      <c r="I19" s="24" t="s">
        <v>59</v>
      </c>
      <c r="J19" s="13" t="s">
        <v>60</v>
      </c>
      <c r="K19" s="13"/>
      <c r="L19" s="4"/>
    </row>
    <row r="20" spans="1:12" ht="21.75" customHeight="1">
      <c r="A20" s="18">
        <v>16</v>
      </c>
      <c r="B20" s="19" t="s">
        <v>80</v>
      </c>
      <c r="C20" s="19" t="s">
        <v>53</v>
      </c>
      <c r="D20" s="20" t="s">
        <v>54</v>
      </c>
      <c r="E20" s="21">
        <v>0.4</v>
      </c>
      <c r="F20" s="22">
        <v>5.6</v>
      </c>
      <c r="G20" s="22">
        <f>ROUND((1-E20/100)*F20,1)</f>
        <v>5.6</v>
      </c>
      <c r="H20" s="13" t="s">
        <v>55</v>
      </c>
      <c r="I20" s="24" t="s">
        <v>59</v>
      </c>
      <c r="J20" s="13" t="s">
        <v>60</v>
      </c>
      <c r="K20" s="13"/>
      <c r="L20" s="4"/>
    </row>
    <row r="21" spans="1:12" ht="21.75" customHeight="1">
      <c r="A21" s="18">
        <v>17</v>
      </c>
      <c r="B21" s="19" t="s">
        <v>81</v>
      </c>
      <c r="C21" s="19" t="s">
        <v>53</v>
      </c>
      <c r="D21" s="20" t="s">
        <v>54</v>
      </c>
      <c r="E21" s="21">
        <v>1.4</v>
      </c>
      <c r="F21" s="22">
        <v>31</v>
      </c>
      <c r="G21" s="22">
        <f>ROUND((1-E21/100)*F21,1)</f>
        <v>30.6</v>
      </c>
      <c r="H21" s="13" t="s">
        <v>55</v>
      </c>
      <c r="I21" s="24" t="s">
        <v>59</v>
      </c>
      <c r="J21" s="13" t="s">
        <v>60</v>
      </c>
      <c r="K21" s="13"/>
      <c r="L21" s="4"/>
    </row>
    <row r="22" spans="1:12" ht="21.75" customHeight="1">
      <c r="A22" s="18">
        <v>18</v>
      </c>
      <c r="B22" s="19" t="s">
        <v>82</v>
      </c>
      <c r="C22" s="19" t="s">
        <v>53</v>
      </c>
      <c r="D22" s="20" t="s">
        <v>54</v>
      </c>
      <c r="E22" s="21">
        <v>1.6</v>
      </c>
      <c r="F22" s="22">
        <v>21.2</v>
      </c>
      <c r="G22" s="22">
        <f>ROUND((1-E22/100)*F22,1)</f>
        <v>20.9</v>
      </c>
      <c r="H22" s="13" t="s">
        <v>55</v>
      </c>
      <c r="I22" s="24" t="s">
        <v>59</v>
      </c>
      <c r="J22" s="13" t="s">
        <v>60</v>
      </c>
      <c r="K22" s="13"/>
      <c r="L22" s="4"/>
    </row>
    <row r="23" spans="1:12" ht="21.75" customHeight="1">
      <c r="A23" s="18">
        <v>19</v>
      </c>
      <c r="B23" s="19" t="s">
        <v>83</v>
      </c>
      <c r="C23" s="19" t="s">
        <v>53</v>
      </c>
      <c r="D23" s="20" t="s">
        <v>54</v>
      </c>
      <c r="E23" s="21">
        <v>0.9</v>
      </c>
      <c r="F23" s="22">
        <v>23.8</v>
      </c>
      <c r="G23" s="22">
        <f>ROUND((1-E23/100)*F23,1)</f>
        <v>23.6</v>
      </c>
      <c r="H23" s="13" t="s">
        <v>55</v>
      </c>
      <c r="I23" s="23" t="s">
        <v>56</v>
      </c>
      <c r="J23" s="13" t="s">
        <v>78</v>
      </c>
      <c r="K23" s="13" t="s">
        <v>62</v>
      </c>
      <c r="L23" s="4"/>
    </row>
    <row r="24" spans="1:12" ht="21.75" customHeight="1">
      <c r="A24" s="18">
        <v>20</v>
      </c>
      <c r="B24" s="19" t="s">
        <v>84</v>
      </c>
      <c r="C24" s="19" t="s">
        <v>53</v>
      </c>
      <c r="D24" s="20" t="s">
        <v>54</v>
      </c>
      <c r="E24" s="21">
        <v>48.3</v>
      </c>
      <c r="F24" s="22">
        <v>4.9000000000000004</v>
      </c>
      <c r="G24" s="22">
        <f>ROUND((1-E24/100)*F24,1)</f>
        <v>2.5</v>
      </c>
      <c r="H24" s="13" t="s">
        <v>55</v>
      </c>
      <c r="I24" s="24" t="s">
        <v>59</v>
      </c>
      <c r="J24" s="13" t="s">
        <v>60</v>
      </c>
      <c r="K24" s="13"/>
      <c r="L24" s="4"/>
    </row>
    <row r="25" spans="1:12" ht="21.75" customHeight="1">
      <c r="A25" s="18">
        <v>21</v>
      </c>
      <c r="B25" s="19" t="s">
        <v>85</v>
      </c>
      <c r="C25" s="19" t="s">
        <v>53</v>
      </c>
      <c r="D25" s="20" t="s">
        <v>54</v>
      </c>
      <c r="E25" s="21">
        <v>5.4</v>
      </c>
      <c r="F25" s="22">
        <v>34.6</v>
      </c>
      <c r="G25" s="22">
        <f>ROUND((1-E25/100)*F25,1)</f>
        <v>32.700000000000003</v>
      </c>
      <c r="H25" s="13" t="s">
        <v>55</v>
      </c>
      <c r="I25" s="24" t="s">
        <v>59</v>
      </c>
      <c r="J25" s="13" t="s">
        <v>60</v>
      </c>
      <c r="K25" s="13"/>
      <c r="L25" s="4"/>
    </row>
    <row r="26" spans="1:12" ht="21.75" customHeight="1">
      <c r="A26" s="18">
        <v>22</v>
      </c>
      <c r="B26" s="19" t="s">
        <v>86</v>
      </c>
      <c r="C26" s="19" t="s">
        <v>53</v>
      </c>
      <c r="D26" s="20" t="s">
        <v>54</v>
      </c>
      <c r="E26" s="21">
        <v>3</v>
      </c>
      <c r="F26" s="22">
        <v>27.2</v>
      </c>
      <c r="G26" s="22">
        <f>ROUND((1-E26/100)*F26,1)</f>
        <v>26.4</v>
      </c>
      <c r="H26" s="13" t="s">
        <v>55</v>
      </c>
      <c r="I26" s="24" t="s">
        <v>59</v>
      </c>
      <c r="J26" s="13" t="s">
        <v>60</v>
      </c>
      <c r="K26" s="13" t="s">
        <v>62</v>
      </c>
      <c r="L26" s="4"/>
    </row>
    <row r="27" spans="1:12" ht="21.75" customHeight="1">
      <c r="A27" s="18">
        <v>23</v>
      </c>
      <c r="B27" s="19" t="s">
        <v>87</v>
      </c>
      <c r="C27" s="19" t="s">
        <v>53</v>
      </c>
      <c r="D27" s="20" t="s">
        <v>54</v>
      </c>
      <c r="E27" s="21">
        <v>5.4</v>
      </c>
      <c r="F27" s="22">
        <v>14.3</v>
      </c>
      <c r="G27" s="22">
        <f>ROUND((1-E27/100)*F27,1)</f>
        <v>13.5</v>
      </c>
      <c r="H27" s="13" t="s">
        <v>55</v>
      </c>
      <c r="I27" s="23" t="s">
        <v>56</v>
      </c>
      <c r="J27" s="13" t="s">
        <v>57</v>
      </c>
      <c r="K27" s="13"/>
      <c r="L27" s="4"/>
    </row>
    <row r="28" spans="1:12" ht="21.75" customHeight="1">
      <c r="A28" s="18">
        <v>24</v>
      </c>
      <c r="B28" s="19" t="s">
        <v>88</v>
      </c>
      <c r="C28" s="19" t="s">
        <v>53</v>
      </c>
      <c r="D28" s="20" t="s">
        <v>54</v>
      </c>
      <c r="E28" s="21">
        <v>29.4</v>
      </c>
      <c r="F28" s="22">
        <v>18.399999999999999</v>
      </c>
      <c r="G28" s="22">
        <f>ROUND((1-E28/100)*F28,1)</f>
        <v>13</v>
      </c>
      <c r="H28" s="13" t="s">
        <v>55</v>
      </c>
      <c r="I28" s="24" t="s">
        <v>59</v>
      </c>
      <c r="J28" s="13" t="s">
        <v>60</v>
      </c>
      <c r="K28" s="13"/>
      <c r="L28" s="4"/>
    </row>
    <row r="29" spans="1:12" ht="21.75" customHeight="1">
      <c r="A29" s="18">
        <v>25</v>
      </c>
      <c r="B29" s="19" t="s">
        <v>89</v>
      </c>
      <c r="C29" s="19" t="s">
        <v>53</v>
      </c>
      <c r="D29" s="20" t="s">
        <v>54</v>
      </c>
      <c r="E29" s="21">
        <v>0.8</v>
      </c>
      <c r="F29" s="22">
        <v>8.9</v>
      </c>
      <c r="G29" s="22">
        <f>ROUND((1-E29/100)*F29,1)</f>
        <v>8.8000000000000007</v>
      </c>
      <c r="H29" s="13" t="s">
        <v>55</v>
      </c>
      <c r="I29" s="24" t="s">
        <v>59</v>
      </c>
      <c r="J29" s="13" t="s">
        <v>60</v>
      </c>
      <c r="K29" s="13"/>
      <c r="L29" s="4"/>
    </row>
    <row r="30" spans="1:12" ht="21.75" customHeight="1">
      <c r="A30" s="18">
        <v>26</v>
      </c>
      <c r="B30" s="19" t="s">
        <v>90</v>
      </c>
      <c r="C30" s="19" t="s">
        <v>53</v>
      </c>
      <c r="D30" s="20" t="s">
        <v>54</v>
      </c>
      <c r="E30" s="21">
        <v>3.8</v>
      </c>
      <c r="F30" s="22">
        <v>18.899999999999999</v>
      </c>
      <c r="G30" s="22">
        <f>ROUND((1-E30/100)*F30,1)</f>
        <v>18.2</v>
      </c>
      <c r="H30" s="13" t="s">
        <v>55</v>
      </c>
      <c r="I30" s="23" t="s">
        <v>56</v>
      </c>
      <c r="J30" s="13" t="s">
        <v>57</v>
      </c>
      <c r="K30" s="13" t="s">
        <v>62</v>
      </c>
      <c r="L30" s="4"/>
    </row>
    <row r="31" spans="1:12" ht="21.75" customHeight="1">
      <c r="A31" s="18">
        <v>27</v>
      </c>
      <c r="B31" s="19" t="s">
        <v>91</v>
      </c>
      <c r="C31" s="19" t="s">
        <v>53</v>
      </c>
      <c r="D31" s="20" t="s">
        <v>54</v>
      </c>
      <c r="E31" s="21">
        <v>0</v>
      </c>
      <c r="F31" s="22">
        <v>11.6</v>
      </c>
      <c r="G31" s="22">
        <f>ROUND((1-E31/100)*F31,1)</f>
        <v>11.6</v>
      </c>
      <c r="H31" s="13" t="s">
        <v>55</v>
      </c>
      <c r="I31" s="23" t="s">
        <v>56</v>
      </c>
      <c r="J31" s="13" t="s">
        <v>92</v>
      </c>
      <c r="K31" s="13" t="s">
        <v>62</v>
      </c>
      <c r="L31" s="4"/>
    </row>
    <row r="32" spans="1:12" ht="21.75" customHeight="1">
      <c r="A32" s="18">
        <v>28</v>
      </c>
      <c r="B32" s="19" t="s">
        <v>93</v>
      </c>
      <c r="C32" s="19" t="s">
        <v>53</v>
      </c>
      <c r="D32" s="20" t="s">
        <v>54</v>
      </c>
      <c r="E32" s="21">
        <v>62.8</v>
      </c>
      <c r="F32" s="22">
        <v>50</v>
      </c>
      <c r="G32" s="22">
        <f>ROUND((1-E32/100)*F32,1)</f>
        <v>18.600000000000001</v>
      </c>
      <c r="H32" s="13" t="s">
        <v>55</v>
      </c>
      <c r="I32" s="23" t="s">
        <v>56</v>
      </c>
      <c r="J32" s="13" t="s">
        <v>94</v>
      </c>
      <c r="K32" s="13" t="s">
        <v>95</v>
      </c>
      <c r="L32" s="4"/>
    </row>
    <row r="33" spans="1:12" ht="21.75" customHeight="1">
      <c r="A33" s="18">
        <v>29</v>
      </c>
      <c r="B33" s="19" t="s">
        <v>96</v>
      </c>
      <c r="C33" s="19" t="s">
        <v>53</v>
      </c>
      <c r="D33" s="20" t="s">
        <v>54</v>
      </c>
      <c r="E33" s="21">
        <v>11.4</v>
      </c>
      <c r="F33" s="22">
        <v>9.3000000000000007</v>
      </c>
      <c r="G33" s="22">
        <f>ROUND((1-E33/100)*F33,1)</f>
        <v>8.1999999999999993</v>
      </c>
      <c r="H33" s="13" t="s">
        <v>55</v>
      </c>
      <c r="I33" s="24" t="s">
        <v>59</v>
      </c>
      <c r="J33" s="13" t="s">
        <v>60</v>
      </c>
      <c r="K33" s="13"/>
      <c r="L33" s="4"/>
    </row>
    <row r="34" spans="1:12" ht="21.75" customHeight="1">
      <c r="A34" s="18">
        <v>30</v>
      </c>
      <c r="B34" s="19" t="s">
        <v>97</v>
      </c>
      <c r="C34" s="19" t="s">
        <v>53</v>
      </c>
      <c r="D34" s="20" t="s">
        <v>54</v>
      </c>
      <c r="E34" s="21">
        <v>0.7</v>
      </c>
      <c r="F34" s="22">
        <v>49.3</v>
      </c>
      <c r="G34" s="22">
        <f>ROUND((1-E34/100)*F34,1)</f>
        <v>49</v>
      </c>
      <c r="H34" s="13" t="s">
        <v>55</v>
      </c>
      <c r="I34" s="24" t="s">
        <v>59</v>
      </c>
      <c r="J34" s="13" t="s">
        <v>98</v>
      </c>
      <c r="K34" s="13"/>
      <c r="L34" s="4"/>
    </row>
    <row r="35" spans="1:12" ht="21.75" customHeight="1">
      <c r="A35" s="18">
        <v>31</v>
      </c>
      <c r="B35" s="19" t="s">
        <v>99</v>
      </c>
      <c r="C35" s="19" t="s">
        <v>53</v>
      </c>
      <c r="D35" s="20" t="s">
        <v>54</v>
      </c>
      <c r="E35" s="21">
        <v>6.9</v>
      </c>
      <c r="F35" s="22">
        <v>68.599999999999994</v>
      </c>
      <c r="G35" s="22">
        <f>ROUND((1-E35/100)*F35,1)</f>
        <v>63.9</v>
      </c>
      <c r="H35" s="13" t="s">
        <v>55</v>
      </c>
      <c r="I35" s="24" t="s">
        <v>59</v>
      </c>
      <c r="J35" s="13" t="s">
        <v>100</v>
      </c>
      <c r="K35" s="13"/>
      <c r="L35" s="4"/>
    </row>
    <row r="36" spans="1:12" ht="21.75" customHeight="1">
      <c r="A36" s="18">
        <v>32</v>
      </c>
      <c r="B36" s="19" t="s">
        <v>101</v>
      </c>
      <c r="C36" s="19" t="s">
        <v>53</v>
      </c>
      <c r="D36" s="20" t="s">
        <v>54</v>
      </c>
      <c r="E36" s="21">
        <v>10.199999999999999</v>
      </c>
      <c r="F36" s="22">
        <v>21.3</v>
      </c>
      <c r="G36" s="22">
        <f>ROUND((1-E36/100)*F36,1)</f>
        <v>19.100000000000001</v>
      </c>
      <c r="H36" s="13" t="s">
        <v>55</v>
      </c>
      <c r="I36" s="24" t="s">
        <v>59</v>
      </c>
      <c r="J36" s="13" t="s">
        <v>60</v>
      </c>
      <c r="K36" s="13"/>
      <c r="L36" s="4"/>
    </row>
    <row r="37" spans="1:12" ht="21.75" customHeight="1">
      <c r="A37" s="18">
        <v>33</v>
      </c>
      <c r="B37" s="19" t="s">
        <v>102</v>
      </c>
      <c r="C37" s="19" t="s">
        <v>103</v>
      </c>
      <c r="D37" s="20" t="s">
        <v>54</v>
      </c>
      <c r="E37" s="21">
        <v>35.4</v>
      </c>
      <c r="F37" s="22">
        <v>42.6</v>
      </c>
      <c r="G37" s="22">
        <f>ROUND((1-E37/100)*F37,1)</f>
        <v>27.5</v>
      </c>
      <c r="H37" s="13" t="s">
        <v>55</v>
      </c>
      <c r="I37" s="23" t="s">
        <v>56</v>
      </c>
      <c r="J37" s="13" t="s">
        <v>104</v>
      </c>
      <c r="K37" s="13" t="s">
        <v>62</v>
      </c>
      <c r="L37" s="4"/>
    </row>
    <row r="38" spans="1:12" ht="21.75" customHeight="1">
      <c r="A38" s="18">
        <v>34</v>
      </c>
      <c r="B38" s="19" t="s">
        <v>105</v>
      </c>
      <c r="C38" s="19" t="s">
        <v>103</v>
      </c>
      <c r="D38" s="20" t="s">
        <v>54</v>
      </c>
      <c r="E38" s="21">
        <v>26.5</v>
      </c>
      <c r="F38" s="22">
        <v>174.7</v>
      </c>
      <c r="G38" s="22">
        <f>ROUND((1-E38/100)*F38,1)</f>
        <v>128.4</v>
      </c>
      <c r="H38" s="13" t="s">
        <v>55</v>
      </c>
      <c r="I38" s="24" t="s">
        <v>59</v>
      </c>
      <c r="J38" s="13" t="s">
        <v>106</v>
      </c>
      <c r="K38" s="13"/>
      <c r="L38" s="4"/>
    </row>
    <row r="39" spans="1:12" ht="21.75" customHeight="1">
      <c r="A39" s="18">
        <v>35</v>
      </c>
      <c r="B39" s="19" t="s">
        <v>107</v>
      </c>
      <c r="C39" s="19" t="s">
        <v>103</v>
      </c>
      <c r="D39" s="20" t="s">
        <v>54</v>
      </c>
      <c r="E39" s="21">
        <v>44.5</v>
      </c>
      <c r="F39" s="22">
        <v>17.399999999999999</v>
      </c>
      <c r="G39" s="22">
        <f>ROUND((1-E39/100)*F39,1)</f>
        <v>9.6999999999999993</v>
      </c>
      <c r="H39" s="13" t="s">
        <v>55</v>
      </c>
      <c r="I39" s="23" t="s">
        <v>56</v>
      </c>
      <c r="J39" s="13" t="s">
        <v>57</v>
      </c>
      <c r="K39" s="13"/>
      <c r="L39" s="4"/>
    </row>
    <row r="40" spans="1:12" ht="21.75" customHeight="1">
      <c r="A40" s="18">
        <v>36</v>
      </c>
      <c r="B40" s="19" t="s">
        <v>108</v>
      </c>
      <c r="C40" s="19" t="s">
        <v>103</v>
      </c>
      <c r="D40" s="20" t="s">
        <v>54</v>
      </c>
      <c r="E40" s="21">
        <v>9.3000000000000007</v>
      </c>
      <c r="F40" s="22">
        <v>7.7</v>
      </c>
      <c r="G40" s="22">
        <f>ROUND((1-E40/100)*F40,1)</f>
        <v>7</v>
      </c>
      <c r="H40" s="13" t="s">
        <v>55</v>
      </c>
      <c r="I40" s="23" t="s">
        <v>56</v>
      </c>
      <c r="J40" s="13" t="s">
        <v>78</v>
      </c>
      <c r="K40" s="13"/>
      <c r="L40" s="4"/>
    </row>
    <row r="41" spans="1:12" ht="21.75" customHeight="1">
      <c r="A41" s="18">
        <v>37</v>
      </c>
      <c r="B41" s="19" t="s">
        <v>109</v>
      </c>
      <c r="C41" s="19" t="s">
        <v>103</v>
      </c>
      <c r="D41" s="20" t="s">
        <v>54</v>
      </c>
      <c r="E41" s="21">
        <v>43.5</v>
      </c>
      <c r="F41" s="22">
        <v>54.5</v>
      </c>
      <c r="G41" s="22">
        <f>ROUND((1-E41/100)*F41,1)</f>
        <v>30.8</v>
      </c>
      <c r="H41" s="13" t="s">
        <v>55</v>
      </c>
      <c r="I41" s="23" t="s">
        <v>56</v>
      </c>
      <c r="J41" s="13" t="s">
        <v>78</v>
      </c>
      <c r="K41" s="13" t="s">
        <v>62</v>
      </c>
      <c r="L41" s="4"/>
    </row>
    <row r="42" spans="1:12" ht="21.75" customHeight="1">
      <c r="A42" s="18">
        <v>38</v>
      </c>
      <c r="B42" s="19" t="s">
        <v>110</v>
      </c>
      <c r="C42" s="19" t="s">
        <v>103</v>
      </c>
      <c r="D42" s="20" t="s">
        <v>54</v>
      </c>
      <c r="E42" s="21">
        <v>35.200000000000003</v>
      </c>
      <c r="F42" s="22">
        <v>30.9</v>
      </c>
      <c r="G42" s="22">
        <f>ROUND((1-E42/100)*F42,1)</f>
        <v>20</v>
      </c>
      <c r="H42" s="13" t="s">
        <v>55</v>
      </c>
      <c r="I42" s="24" t="s">
        <v>59</v>
      </c>
      <c r="J42" s="13" t="s">
        <v>111</v>
      </c>
      <c r="K42" s="13"/>
      <c r="L42" s="4"/>
    </row>
    <row r="43" spans="1:12" ht="21.75" customHeight="1">
      <c r="A43" s="18">
        <v>39</v>
      </c>
      <c r="B43" s="19" t="s">
        <v>112</v>
      </c>
      <c r="C43" s="19" t="s">
        <v>103</v>
      </c>
      <c r="D43" s="20" t="s">
        <v>54</v>
      </c>
      <c r="E43" s="21">
        <v>15.2</v>
      </c>
      <c r="F43" s="22">
        <v>1.4</v>
      </c>
      <c r="G43" s="22">
        <f>ROUND((1-E43/100)*F43,1)</f>
        <v>1.2</v>
      </c>
      <c r="H43" s="13" t="s">
        <v>55</v>
      </c>
      <c r="I43" s="23" t="s">
        <v>56</v>
      </c>
      <c r="J43" s="13" t="s">
        <v>113</v>
      </c>
      <c r="K43" s="13"/>
      <c r="L43" s="4"/>
    </row>
    <row r="44" spans="1:12" ht="21.75" customHeight="1">
      <c r="A44" s="18">
        <v>40</v>
      </c>
      <c r="B44" s="19" t="s">
        <v>114</v>
      </c>
      <c r="C44" s="19" t="s">
        <v>103</v>
      </c>
      <c r="D44" s="20" t="s">
        <v>54</v>
      </c>
      <c r="E44" s="21">
        <v>61.3</v>
      </c>
      <c r="F44" s="22">
        <v>40.6</v>
      </c>
      <c r="G44" s="22">
        <f>ROUND((1-E44/100)*F44,1)</f>
        <v>15.7</v>
      </c>
      <c r="H44" s="13" t="s">
        <v>55</v>
      </c>
      <c r="I44" s="23" t="s">
        <v>56</v>
      </c>
      <c r="J44" s="13" t="s">
        <v>115</v>
      </c>
      <c r="K44" s="13" t="s">
        <v>62</v>
      </c>
      <c r="L44" s="4"/>
    </row>
    <row r="45" spans="1:12" ht="21.75" customHeight="1">
      <c r="A45" s="18">
        <v>41</v>
      </c>
      <c r="B45" s="19" t="s">
        <v>116</v>
      </c>
      <c r="C45" s="19" t="s">
        <v>117</v>
      </c>
      <c r="D45" s="20" t="s">
        <v>54</v>
      </c>
      <c r="E45" s="21">
        <v>4.3</v>
      </c>
      <c r="F45" s="22">
        <v>11.7</v>
      </c>
      <c r="G45" s="22">
        <f>ROUND((1-E45/100)*F45,1)</f>
        <v>11.2</v>
      </c>
      <c r="H45" s="13" t="s">
        <v>55</v>
      </c>
      <c r="I45" s="23" t="s">
        <v>56</v>
      </c>
      <c r="J45" s="13" t="s">
        <v>118</v>
      </c>
      <c r="K45" s="13" t="s">
        <v>62</v>
      </c>
      <c r="L45" s="4"/>
    </row>
    <row r="46" spans="1:12" ht="21.75" customHeight="1">
      <c r="A46" s="18">
        <v>42</v>
      </c>
      <c r="B46" s="19" t="s">
        <v>119</v>
      </c>
      <c r="C46" s="19" t="s">
        <v>120</v>
      </c>
      <c r="D46" s="20" t="s">
        <v>54</v>
      </c>
      <c r="E46" s="21">
        <v>12.4</v>
      </c>
      <c r="F46" s="22">
        <v>0.13</v>
      </c>
      <c r="G46" s="22">
        <f>ROUND((1-E46/100)*F46,1)</f>
        <v>0.1</v>
      </c>
      <c r="H46" s="13" t="s">
        <v>55</v>
      </c>
      <c r="I46" s="23" t="s">
        <v>56</v>
      </c>
      <c r="J46" s="13" t="s">
        <v>121</v>
      </c>
      <c r="K46" s="13" t="s">
        <v>122</v>
      </c>
      <c r="L46" s="4"/>
    </row>
    <row r="47" spans="1:12" ht="21.75" customHeight="1">
      <c r="A47" s="18">
        <v>43</v>
      </c>
      <c r="B47" s="19" t="s">
        <v>123</v>
      </c>
      <c r="C47" s="19" t="s">
        <v>120</v>
      </c>
      <c r="D47" s="20" t="s">
        <v>54</v>
      </c>
      <c r="E47" s="21">
        <v>8.9</v>
      </c>
      <c r="F47" s="22">
        <v>0.82</v>
      </c>
      <c r="G47" s="22">
        <f>ROUND((1-E47/100)*F47,1)</f>
        <v>0.7</v>
      </c>
      <c r="H47" s="13" t="s">
        <v>55</v>
      </c>
      <c r="I47" s="23" t="s">
        <v>56</v>
      </c>
      <c r="J47" s="13" t="s">
        <v>115</v>
      </c>
      <c r="K47" s="13"/>
      <c r="L47" s="4"/>
    </row>
    <row r="48" spans="1:12" ht="21.75" customHeight="1">
      <c r="A48" s="18">
        <v>44</v>
      </c>
      <c r="B48" s="19" t="s">
        <v>124</v>
      </c>
      <c r="C48" s="19" t="s">
        <v>120</v>
      </c>
      <c r="D48" s="20" t="s">
        <v>54</v>
      </c>
      <c r="E48" s="21">
        <v>74.599999999999994</v>
      </c>
      <c r="F48" s="22">
        <v>1.0999999999999999E-2</v>
      </c>
      <c r="G48" s="22">
        <f>ROUND((1-E48/100)*F48,1)</f>
        <v>0</v>
      </c>
      <c r="H48" s="13" t="s">
        <v>55</v>
      </c>
      <c r="I48" s="23" t="s">
        <v>56</v>
      </c>
      <c r="J48" s="13" t="s">
        <v>57</v>
      </c>
      <c r="K48" s="13" t="s">
        <v>122</v>
      </c>
      <c r="L48" s="4"/>
    </row>
    <row r="49" spans="1:12" ht="21.75" customHeight="1">
      <c r="A49" s="18">
        <v>45</v>
      </c>
      <c r="B49" s="19" t="s">
        <v>125</v>
      </c>
      <c r="C49" s="19" t="s">
        <v>53</v>
      </c>
      <c r="D49" s="25" t="s">
        <v>126</v>
      </c>
      <c r="E49" s="21">
        <v>16.8</v>
      </c>
      <c r="F49" s="22">
        <v>227.9</v>
      </c>
      <c r="G49" s="22">
        <f>ROUND((1-E49/100)*F49,1)</f>
        <v>189.6</v>
      </c>
      <c r="H49" s="13" t="s">
        <v>55</v>
      </c>
      <c r="I49" s="24" t="s">
        <v>59</v>
      </c>
      <c r="J49" s="13" t="s">
        <v>127</v>
      </c>
      <c r="K49" s="13"/>
      <c r="L49" s="4"/>
    </row>
    <row r="50" spans="1:12" ht="32.25" customHeight="1">
      <c r="A50" s="18">
        <v>46</v>
      </c>
      <c r="B50" s="19" t="s">
        <v>128</v>
      </c>
      <c r="C50" s="19" t="s">
        <v>103</v>
      </c>
      <c r="D50" s="25" t="s">
        <v>126</v>
      </c>
      <c r="E50" s="21">
        <v>71.099999999999994</v>
      </c>
      <c r="F50" s="22">
        <v>1438</v>
      </c>
      <c r="G50" s="22">
        <f>ROUND((1-E50/100)*F50,1)</f>
        <v>415.6</v>
      </c>
      <c r="H50" s="13" t="s">
        <v>55</v>
      </c>
      <c r="I50" s="24" t="s">
        <v>59</v>
      </c>
      <c r="J50" s="13" t="s">
        <v>129</v>
      </c>
      <c r="K50" s="13" t="s">
        <v>130</v>
      </c>
      <c r="L50" s="4"/>
    </row>
    <row r="51" spans="1:12" ht="21.75" customHeight="1">
      <c r="A51" s="18">
        <v>47</v>
      </c>
      <c r="B51" s="19" t="s">
        <v>131</v>
      </c>
      <c r="C51" s="19" t="s">
        <v>103</v>
      </c>
      <c r="D51" s="25" t="s">
        <v>126</v>
      </c>
      <c r="E51" s="21">
        <v>83.2</v>
      </c>
      <c r="F51" s="22">
        <v>1410</v>
      </c>
      <c r="G51" s="22">
        <f>ROUND((1-E51/100)*F51,1)</f>
        <v>236.9</v>
      </c>
      <c r="H51" s="13" t="s">
        <v>55</v>
      </c>
      <c r="I51" s="23" t="s">
        <v>56</v>
      </c>
      <c r="J51" s="13" t="s">
        <v>132</v>
      </c>
      <c r="K51" s="13"/>
      <c r="L51" s="4"/>
    </row>
    <row r="52" spans="1:12" ht="21.75" customHeight="1">
      <c r="A52" s="18">
        <v>48</v>
      </c>
      <c r="B52" s="19" t="s">
        <v>133</v>
      </c>
      <c r="C52" s="19" t="s">
        <v>103</v>
      </c>
      <c r="D52" s="25" t="s">
        <v>126</v>
      </c>
      <c r="E52" s="21">
        <v>86.9</v>
      </c>
      <c r="F52" s="22">
        <v>281</v>
      </c>
      <c r="G52" s="22">
        <f>ROUND((1-E52/100)*F52,1)</f>
        <v>36.799999999999997</v>
      </c>
      <c r="H52" s="13" t="s">
        <v>55</v>
      </c>
      <c r="I52" s="23" t="s">
        <v>56</v>
      </c>
      <c r="J52" s="13" t="s">
        <v>134</v>
      </c>
      <c r="K52" s="13"/>
      <c r="L52" s="4"/>
    </row>
    <row r="53" spans="1:12" ht="21.75" customHeight="1">
      <c r="A53" s="18">
        <v>49</v>
      </c>
      <c r="B53" s="19" t="s">
        <v>135</v>
      </c>
      <c r="C53" s="19" t="s">
        <v>103</v>
      </c>
      <c r="D53" s="25" t="s">
        <v>126</v>
      </c>
      <c r="E53" s="21">
        <v>50.7</v>
      </c>
      <c r="F53" s="22">
        <v>245</v>
      </c>
      <c r="G53" s="22">
        <f>ROUND((1-E53/100)*F53,1)</f>
        <v>120.8</v>
      </c>
      <c r="H53" s="13" t="s">
        <v>55</v>
      </c>
      <c r="I53" s="23" t="s">
        <v>56</v>
      </c>
      <c r="J53" s="13" t="s">
        <v>57</v>
      </c>
      <c r="K53" s="13"/>
      <c r="L53" s="4"/>
    </row>
    <row r="54" spans="1:12" ht="21.75" customHeight="1">
      <c r="A54" s="18">
        <v>50</v>
      </c>
      <c r="B54" s="19" t="s">
        <v>136</v>
      </c>
      <c r="C54" s="19" t="s">
        <v>53</v>
      </c>
      <c r="D54" s="25" t="s">
        <v>126</v>
      </c>
      <c r="E54" s="21">
        <v>23.9</v>
      </c>
      <c r="F54" s="22">
        <v>56.4</v>
      </c>
      <c r="G54" s="22">
        <f>ROUND((1-E54/100)*F54,1)</f>
        <v>42.9</v>
      </c>
      <c r="H54" s="13" t="s">
        <v>55</v>
      </c>
      <c r="I54" s="24" t="s">
        <v>59</v>
      </c>
      <c r="J54" s="13" t="s">
        <v>137</v>
      </c>
      <c r="K54" s="13"/>
      <c r="L54" s="4"/>
    </row>
    <row r="55" spans="1:12" ht="21.75" customHeight="1">
      <c r="A55" s="18">
        <v>51</v>
      </c>
      <c r="B55" s="19" t="s">
        <v>138</v>
      </c>
      <c r="C55" s="19" t="s">
        <v>103</v>
      </c>
      <c r="D55" s="25" t="s">
        <v>126</v>
      </c>
      <c r="E55" s="21">
        <v>48</v>
      </c>
      <c r="F55" s="22">
        <v>118</v>
      </c>
      <c r="G55" s="22">
        <f>ROUND((1-E55/100)*F55,1)</f>
        <v>61.4</v>
      </c>
      <c r="H55" s="13" t="s">
        <v>55</v>
      </c>
      <c r="I55" s="26" t="s">
        <v>139</v>
      </c>
      <c r="J55" s="13" t="s">
        <v>140</v>
      </c>
      <c r="K55" s="13" t="s">
        <v>141</v>
      </c>
      <c r="L55" s="4"/>
    </row>
    <row r="56" spans="1:12" ht="21.75" customHeight="1">
      <c r="A56" s="18">
        <v>52</v>
      </c>
      <c r="B56" s="19" t="s">
        <v>142</v>
      </c>
      <c r="C56" s="19" t="s">
        <v>53</v>
      </c>
      <c r="D56" s="25" t="s">
        <v>126</v>
      </c>
      <c r="E56" s="21">
        <v>30.3</v>
      </c>
      <c r="F56" s="22">
        <v>34.4</v>
      </c>
      <c r="G56" s="22">
        <f>ROUND((1-E56/100)*F56,1)</f>
        <v>24</v>
      </c>
      <c r="H56" s="13" t="s">
        <v>55</v>
      </c>
      <c r="I56" s="24" t="s">
        <v>59</v>
      </c>
      <c r="J56" s="13" t="s">
        <v>143</v>
      </c>
      <c r="K56" s="13"/>
      <c r="L56" s="4"/>
    </row>
    <row r="57" spans="1:12" ht="21.75" customHeight="1">
      <c r="A57" s="18">
        <v>53</v>
      </c>
      <c r="B57" s="19" t="s">
        <v>144</v>
      </c>
      <c r="C57" s="19" t="s">
        <v>53</v>
      </c>
      <c r="D57" s="25" t="s">
        <v>126</v>
      </c>
      <c r="E57" s="21">
        <v>31.7</v>
      </c>
      <c r="F57" s="22">
        <v>31.9</v>
      </c>
      <c r="G57" s="22">
        <f>ROUND((1-E57/100)*F57,1)</f>
        <v>21.8</v>
      </c>
      <c r="H57" s="13" t="s">
        <v>55</v>
      </c>
      <c r="I57" s="24" t="s">
        <v>59</v>
      </c>
      <c r="J57" s="13" t="s">
        <v>60</v>
      </c>
      <c r="K57" s="13"/>
      <c r="L57" s="4"/>
    </row>
    <row r="58" spans="1:12" ht="21.75" customHeight="1">
      <c r="A58" s="18">
        <v>54</v>
      </c>
      <c r="B58" s="19" t="s">
        <v>145</v>
      </c>
      <c r="C58" s="19" t="s">
        <v>120</v>
      </c>
      <c r="D58" s="25" t="s">
        <v>126</v>
      </c>
      <c r="E58" s="21">
        <v>9.6999999999999993</v>
      </c>
      <c r="F58" s="22">
        <v>10.3</v>
      </c>
      <c r="G58" s="22">
        <f>ROUND((1-E58/100)*F58,1)</f>
        <v>9.3000000000000007</v>
      </c>
      <c r="H58" s="13" t="s">
        <v>55</v>
      </c>
      <c r="I58" s="23" t="s">
        <v>56</v>
      </c>
      <c r="J58" s="13" t="s">
        <v>146</v>
      </c>
      <c r="K58" s="13"/>
      <c r="L58" s="4"/>
    </row>
  </sheetData>
  <autoFilter ref="A4:K4" xr:uid="{00000000-0009-0000-0000-000001000000}"/>
  <mergeCells count="1">
    <mergeCell ref="A2:L2"/>
  </mergeCells>
  <pageMargins left="0.75" right="0.75" top="1" bottom="1" header="0.511811023622047" footer="0.51180555555555596"/>
  <pageSetup paperSize="9" fitToHeight="0" orientation="landscape" horizontalDpi="300" verticalDpi="300"/>
  <headerFooter>
    <oddFooter>&amp;LGold Standard · Basic-Services Index v2.0&amp;R&amp;P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9BD"/>
    <pageSetUpPr fitToPage="1"/>
  </sheetPr>
  <dimension ref="A1:L58"/>
  <sheetViews>
    <sheetView showGridLines="0" zoomScaleNormal="100" workbookViewId="0">
      <pane xSplit="2" ySplit="4" topLeftCell="C5" activePane="bottomRight" state="frozen"/>
      <selection pane="bottomRight"/>
      <selection pane="bottomLeft" activeCell="A5" sqref="A5"/>
      <selection pane="topRight" activeCell="C1" sqref="C1"/>
    </sheetView>
  </sheetViews>
  <sheetFormatPr defaultColWidth="8.7109375" defaultRowHeight="14.25"/>
  <cols>
    <col min="1" max="1" width="4" customWidth="1"/>
    <col min="2" max="2" width="20" customWidth="1"/>
    <col min="3" max="3" width="10" customWidth="1"/>
    <col min="4" max="4" width="6" customWidth="1"/>
    <col min="5" max="5" width="11" customWidth="1"/>
    <col min="6" max="6" width="9" customWidth="1"/>
    <col min="7" max="7" width="13" customWidth="1"/>
    <col min="8" max="8" width="27.7109375" customWidth="1"/>
    <col min="9" max="9" width="13" customWidth="1"/>
    <col min="10" max="10" width="44" customWidth="1"/>
    <col min="11" max="11" width="34" customWidth="1"/>
    <col min="12" max="12" width="28" customWidth="1"/>
  </cols>
  <sheetData>
    <row r="1" spans="1:12" ht="15.75" customHeight="1">
      <c r="A1" s="16" t="s">
        <v>147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45.75" customHeight="1">
      <c r="A2" s="3" t="s">
        <v>148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4.2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30" customHeight="1">
      <c r="A4" s="17" t="s">
        <v>41</v>
      </c>
      <c r="B4" s="17" t="s">
        <v>42</v>
      </c>
      <c r="C4" s="17" t="s">
        <v>43</v>
      </c>
      <c r="D4" s="17" t="s">
        <v>44</v>
      </c>
      <c r="E4" s="17" t="s">
        <v>149</v>
      </c>
      <c r="F4" s="17" t="s">
        <v>46</v>
      </c>
      <c r="G4" s="17" t="s">
        <v>150</v>
      </c>
      <c r="H4" s="17" t="s">
        <v>48</v>
      </c>
      <c r="I4" s="17" t="s">
        <v>49</v>
      </c>
      <c r="J4" s="17" t="s">
        <v>50</v>
      </c>
      <c r="K4" s="17" t="s">
        <v>51</v>
      </c>
      <c r="L4" s="4"/>
    </row>
    <row r="5" spans="1:12" ht="21.75" customHeight="1">
      <c r="A5" s="18">
        <v>1</v>
      </c>
      <c r="B5" s="19" t="s">
        <v>52</v>
      </c>
      <c r="C5" s="19" t="s">
        <v>53</v>
      </c>
      <c r="D5" s="20" t="s">
        <v>54</v>
      </c>
      <c r="E5" s="21">
        <v>51.1</v>
      </c>
      <c r="F5" s="22">
        <v>37.9</v>
      </c>
      <c r="G5" s="22">
        <f>ROUND((1-E5/100)*F5,1)</f>
        <v>18.5</v>
      </c>
      <c r="H5" s="13" t="s">
        <v>55</v>
      </c>
      <c r="I5" s="23" t="s">
        <v>56</v>
      </c>
      <c r="J5" s="13" t="s">
        <v>151</v>
      </c>
      <c r="K5" s="13"/>
      <c r="L5" s="4"/>
    </row>
    <row r="6" spans="1:12" ht="21.75" customHeight="1">
      <c r="A6" s="18">
        <v>2</v>
      </c>
      <c r="B6" s="19" t="s">
        <v>58</v>
      </c>
      <c r="C6" s="19" t="s">
        <v>53</v>
      </c>
      <c r="D6" s="20" t="s">
        <v>54</v>
      </c>
      <c r="E6" s="21">
        <v>42</v>
      </c>
      <c r="F6" s="22">
        <v>14.5</v>
      </c>
      <c r="G6" s="22">
        <f>ROUND((1-E6/100)*F6,1)</f>
        <v>8.4</v>
      </c>
      <c r="H6" s="13" t="s">
        <v>55</v>
      </c>
      <c r="I6" s="24" t="s">
        <v>59</v>
      </c>
      <c r="J6" s="13" t="s">
        <v>152</v>
      </c>
      <c r="K6" s="13"/>
      <c r="L6" s="4"/>
    </row>
    <row r="7" spans="1:12" ht="21.75" customHeight="1">
      <c r="A7" s="18">
        <v>3</v>
      </c>
      <c r="B7" s="19" t="s">
        <v>61</v>
      </c>
      <c r="C7" s="19" t="s">
        <v>53</v>
      </c>
      <c r="D7" s="20" t="s">
        <v>54</v>
      </c>
      <c r="E7" s="21">
        <v>19</v>
      </c>
      <c r="F7" s="22">
        <v>23.5</v>
      </c>
      <c r="G7" s="22">
        <f>ROUND((1-E7/100)*F7,1)</f>
        <v>19</v>
      </c>
      <c r="H7" s="13" t="s">
        <v>55</v>
      </c>
      <c r="I7" s="23" t="s">
        <v>56</v>
      </c>
      <c r="J7" s="13" t="s">
        <v>151</v>
      </c>
      <c r="K7" s="13" t="s">
        <v>62</v>
      </c>
      <c r="L7" s="4"/>
    </row>
    <row r="8" spans="1:12" ht="21.75" customHeight="1">
      <c r="A8" s="18">
        <v>4</v>
      </c>
      <c r="B8" s="19" t="s">
        <v>63</v>
      </c>
      <c r="C8" s="19" t="s">
        <v>53</v>
      </c>
      <c r="D8" s="20" t="s">
        <v>54</v>
      </c>
      <c r="E8" s="21">
        <v>11.6</v>
      </c>
      <c r="F8" s="22">
        <v>13.2</v>
      </c>
      <c r="G8" s="22">
        <f>ROUND((1-E8/100)*F8,1)</f>
        <v>11.7</v>
      </c>
      <c r="H8" s="13" t="s">
        <v>55</v>
      </c>
      <c r="I8" s="24" t="s">
        <v>59</v>
      </c>
      <c r="J8" s="13" t="s">
        <v>152</v>
      </c>
      <c r="K8" s="13"/>
      <c r="L8" s="4"/>
    </row>
    <row r="9" spans="1:12" ht="21.75" customHeight="1">
      <c r="A9" s="18">
        <v>5</v>
      </c>
      <c r="B9" s="19" t="s">
        <v>64</v>
      </c>
      <c r="C9" s="19" t="s">
        <v>53</v>
      </c>
      <c r="D9" s="20" t="s">
        <v>54</v>
      </c>
      <c r="E9" s="21">
        <v>15.7</v>
      </c>
      <c r="F9" s="22">
        <v>5.6</v>
      </c>
      <c r="G9" s="22">
        <f>ROUND((1-E9/100)*F9,1)</f>
        <v>4.7</v>
      </c>
      <c r="H9" s="13" t="s">
        <v>55</v>
      </c>
      <c r="I9" s="23" t="s">
        <v>56</v>
      </c>
      <c r="J9" s="13" t="s">
        <v>151</v>
      </c>
      <c r="K9" s="13" t="s">
        <v>62</v>
      </c>
      <c r="L9" s="4"/>
    </row>
    <row r="10" spans="1:12" ht="21.75" customHeight="1">
      <c r="A10" s="18">
        <v>6</v>
      </c>
      <c r="B10" s="19" t="s">
        <v>66</v>
      </c>
      <c r="C10" s="19" t="s">
        <v>53</v>
      </c>
      <c r="D10" s="20" t="s">
        <v>54</v>
      </c>
      <c r="E10" s="21">
        <v>12</v>
      </c>
      <c r="F10" s="22">
        <v>19.3</v>
      </c>
      <c r="G10" s="22">
        <f>ROUND((1-E10/100)*F10,1)</f>
        <v>17</v>
      </c>
      <c r="H10" s="13" t="s">
        <v>55</v>
      </c>
      <c r="I10" s="24" t="s">
        <v>59</v>
      </c>
      <c r="J10" s="13" t="s">
        <v>152</v>
      </c>
      <c r="K10" s="13" t="s">
        <v>62</v>
      </c>
      <c r="L10" s="4"/>
    </row>
    <row r="11" spans="1:12" ht="21.75" customHeight="1">
      <c r="A11" s="18">
        <v>7</v>
      </c>
      <c r="B11" s="19" t="s">
        <v>67</v>
      </c>
      <c r="C11" s="19" t="s">
        <v>53</v>
      </c>
      <c r="D11" s="20" t="s">
        <v>54</v>
      </c>
      <c r="E11" s="21">
        <v>89.8</v>
      </c>
      <c r="F11" s="22">
        <v>0.85</v>
      </c>
      <c r="G11" s="22">
        <f>ROUND((1-E11/100)*F11,1)</f>
        <v>0.1</v>
      </c>
      <c r="H11" s="13" t="s">
        <v>55</v>
      </c>
      <c r="I11" s="24" t="s">
        <v>59</v>
      </c>
      <c r="J11" s="13" t="s">
        <v>152</v>
      </c>
      <c r="K11" s="13"/>
      <c r="L11" s="4"/>
    </row>
    <row r="12" spans="1:12" ht="21.75" customHeight="1">
      <c r="A12" s="18">
        <v>8</v>
      </c>
      <c r="B12" s="19" t="s">
        <v>68</v>
      </c>
      <c r="C12" s="19" t="s">
        <v>53</v>
      </c>
      <c r="D12" s="20" t="s">
        <v>54</v>
      </c>
      <c r="E12" s="21"/>
      <c r="F12" s="22">
        <v>105.8</v>
      </c>
      <c r="G12" s="22">
        <v>84.7</v>
      </c>
      <c r="H12" s="13" t="s">
        <v>153</v>
      </c>
      <c r="I12" s="24" t="s">
        <v>59</v>
      </c>
      <c r="J12" s="13" t="s">
        <v>152</v>
      </c>
      <c r="K12" s="13" t="s">
        <v>154</v>
      </c>
      <c r="L12" s="4"/>
    </row>
    <row r="13" spans="1:12" ht="21.75" customHeight="1">
      <c r="A13" s="18">
        <v>9</v>
      </c>
      <c r="B13" s="19" t="s">
        <v>69</v>
      </c>
      <c r="C13" s="19" t="s">
        <v>53</v>
      </c>
      <c r="D13" s="20" t="s">
        <v>54</v>
      </c>
      <c r="E13" s="21">
        <v>65.400000000000006</v>
      </c>
      <c r="F13" s="22">
        <v>1.1399999999999999</v>
      </c>
      <c r="G13" s="22">
        <f>ROUND((1-E13/100)*F13,1)</f>
        <v>0.4</v>
      </c>
      <c r="H13" s="13" t="s">
        <v>55</v>
      </c>
      <c r="I13" s="23" t="s">
        <v>56</v>
      </c>
      <c r="J13" s="13" t="s">
        <v>151</v>
      </c>
      <c r="K13" s="13"/>
      <c r="L13" s="4"/>
    </row>
    <row r="14" spans="1:12" ht="21.75" customHeight="1">
      <c r="A14" s="18">
        <v>10</v>
      </c>
      <c r="B14" s="19" t="s">
        <v>71</v>
      </c>
      <c r="C14" s="19" t="s">
        <v>53</v>
      </c>
      <c r="D14" s="20" t="s">
        <v>54</v>
      </c>
      <c r="E14" s="21">
        <v>52.5</v>
      </c>
      <c r="F14" s="22">
        <v>3.7</v>
      </c>
      <c r="G14" s="22">
        <f>ROUND((1-E14/100)*F14,1)</f>
        <v>1.8</v>
      </c>
      <c r="H14" s="13" t="s">
        <v>55</v>
      </c>
      <c r="I14" s="23" t="s">
        <v>56</v>
      </c>
      <c r="J14" s="13" t="s">
        <v>151</v>
      </c>
      <c r="K14" s="13"/>
      <c r="L14" s="4"/>
    </row>
    <row r="15" spans="1:12" ht="21.75" customHeight="1">
      <c r="A15" s="18">
        <v>11</v>
      </c>
      <c r="B15" s="19" t="s">
        <v>73</v>
      </c>
      <c r="C15" s="19" t="s">
        <v>53</v>
      </c>
      <c r="D15" s="20" t="s">
        <v>54</v>
      </c>
      <c r="E15" s="21"/>
      <c r="F15" s="22">
        <v>129.69999999999999</v>
      </c>
      <c r="G15" s="22">
        <v>57.3</v>
      </c>
      <c r="H15" s="13" t="s">
        <v>153</v>
      </c>
      <c r="I15" s="24" t="s">
        <v>59</v>
      </c>
      <c r="J15" s="13" t="s">
        <v>152</v>
      </c>
      <c r="K15" s="13" t="s">
        <v>155</v>
      </c>
      <c r="L15" s="4"/>
    </row>
    <row r="16" spans="1:12" ht="21.75" customHeight="1">
      <c r="A16" s="18">
        <v>12</v>
      </c>
      <c r="B16" s="19" t="s">
        <v>75</v>
      </c>
      <c r="C16" s="19" t="s">
        <v>53</v>
      </c>
      <c r="D16" s="20" t="s">
        <v>54</v>
      </c>
      <c r="E16" s="21">
        <v>63.7</v>
      </c>
      <c r="F16" s="22">
        <v>2.8</v>
      </c>
      <c r="G16" s="22">
        <f>ROUND((1-E16/100)*F16,1)</f>
        <v>1</v>
      </c>
      <c r="H16" s="13" t="s">
        <v>55</v>
      </c>
      <c r="I16" s="24" t="s">
        <v>59</v>
      </c>
      <c r="J16" s="13" t="s">
        <v>152</v>
      </c>
      <c r="K16" s="13"/>
      <c r="L16" s="4"/>
    </row>
    <row r="17" spans="1:12" ht="21.75" customHeight="1">
      <c r="A17" s="18">
        <v>13</v>
      </c>
      <c r="B17" s="19" t="s">
        <v>76</v>
      </c>
      <c r="C17" s="19" t="s">
        <v>53</v>
      </c>
      <c r="D17" s="20" t="s">
        <v>54</v>
      </c>
      <c r="E17" s="21">
        <v>46.8</v>
      </c>
      <c r="F17" s="22">
        <v>14.5</v>
      </c>
      <c r="G17" s="22">
        <f>ROUND((1-E17/100)*F17,1)</f>
        <v>7.7</v>
      </c>
      <c r="H17" s="13" t="s">
        <v>55</v>
      </c>
      <c r="I17" s="24" t="s">
        <v>59</v>
      </c>
      <c r="J17" s="13" t="s">
        <v>152</v>
      </c>
      <c r="K17" s="13"/>
      <c r="L17" s="4"/>
    </row>
    <row r="18" spans="1:12" ht="21.75" customHeight="1">
      <c r="A18" s="18">
        <v>14</v>
      </c>
      <c r="B18" s="19" t="s">
        <v>77</v>
      </c>
      <c r="C18" s="19" t="s">
        <v>53</v>
      </c>
      <c r="D18" s="20" t="s">
        <v>54</v>
      </c>
      <c r="E18" s="21">
        <v>35.799999999999997</v>
      </c>
      <c r="F18" s="22">
        <v>2.2000000000000002</v>
      </c>
      <c r="G18" s="22">
        <f>ROUND((1-E18/100)*F18,1)</f>
        <v>1.4</v>
      </c>
      <c r="H18" s="13" t="s">
        <v>55</v>
      </c>
      <c r="I18" s="23" t="s">
        <v>56</v>
      </c>
      <c r="J18" s="13" t="s">
        <v>151</v>
      </c>
      <c r="K18" s="13"/>
      <c r="L18" s="4"/>
    </row>
    <row r="19" spans="1:12" ht="21.75" customHeight="1">
      <c r="A19" s="18">
        <v>15</v>
      </c>
      <c r="B19" s="19" t="s">
        <v>79</v>
      </c>
      <c r="C19" s="19" t="s">
        <v>53</v>
      </c>
      <c r="D19" s="20" t="s">
        <v>54</v>
      </c>
      <c r="E19" s="21">
        <v>50.4</v>
      </c>
      <c r="F19" s="22">
        <v>2.2999999999999998</v>
      </c>
      <c r="G19" s="22">
        <f>ROUND((1-E19/100)*F19,1)</f>
        <v>1.1000000000000001</v>
      </c>
      <c r="H19" s="13" t="s">
        <v>55</v>
      </c>
      <c r="I19" s="24" t="s">
        <v>59</v>
      </c>
      <c r="J19" s="13" t="s">
        <v>152</v>
      </c>
      <c r="K19" s="13"/>
      <c r="L19" s="4"/>
    </row>
    <row r="20" spans="1:12" ht="21.75" customHeight="1">
      <c r="A20" s="18">
        <v>16</v>
      </c>
      <c r="B20" s="19" t="s">
        <v>80</v>
      </c>
      <c r="C20" s="19" t="s">
        <v>53</v>
      </c>
      <c r="D20" s="20" t="s">
        <v>54</v>
      </c>
      <c r="E20" s="21">
        <v>29.8</v>
      </c>
      <c r="F20" s="22">
        <v>5.6</v>
      </c>
      <c r="G20" s="22">
        <f>ROUND((1-E20/100)*F20,1)</f>
        <v>3.9</v>
      </c>
      <c r="H20" s="13" t="s">
        <v>55</v>
      </c>
      <c r="I20" s="24" t="s">
        <v>59</v>
      </c>
      <c r="J20" s="13" t="s">
        <v>152</v>
      </c>
      <c r="K20" s="13"/>
      <c r="L20" s="4"/>
    </row>
    <row r="21" spans="1:12" ht="21.75" customHeight="1">
      <c r="A21" s="18">
        <v>17</v>
      </c>
      <c r="B21" s="19" t="s">
        <v>81</v>
      </c>
      <c r="C21" s="19" t="s">
        <v>53</v>
      </c>
      <c r="D21" s="20" t="s">
        <v>54</v>
      </c>
      <c r="E21" s="21">
        <v>35.1</v>
      </c>
      <c r="F21" s="22">
        <v>31</v>
      </c>
      <c r="G21" s="22">
        <f>ROUND((1-E21/100)*F21,1)</f>
        <v>20.100000000000001</v>
      </c>
      <c r="H21" s="13" t="s">
        <v>55</v>
      </c>
      <c r="I21" s="24" t="s">
        <v>59</v>
      </c>
      <c r="J21" s="13" t="s">
        <v>152</v>
      </c>
      <c r="K21" s="13"/>
      <c r="L21" s="4"/>
    </row>
    <row r="22" spans="1:12" ht="21.75" customHeight="1">
      <c r="A22" s="18">
        <v>18</v>
      </c>
      <c r="B22" s="19" t="s">
        <v>82</v>
      </c>
      <c r="C22" s="19" t="s">
        <v>53</v>
      </c>
      <c r="D22" s="20" t="s">
        <v>54</v>
      </c>
      <c r="E22" s="21">
        <v>14.2</v>
      </c>
      <c r="F22" s="22">
        <v>21.2</v>
      </c>
      <c r="G22" s="22">
        <f>ROUND((1-E22/100)*F22,1)</f>
        <v>18.2</v>
      </c>
      <c r="H22" s="13" t="s">
        <v>55</v>
      </c>
      <c r="I22" s="24" t="s">
        <v>59</v>
      </c>
      <c r="J22" s="13" t="s">
        <v>152</v>
      </c>
      <c r="K22" s="13"/>
      <c r="L22" s="4"/>
    </row>
    <row r="23" spans="1:12" ht="21.75" customHeight="1">
      <c r="A23" s="18">
        <v>19</v>
      </c>
      <c r="B23" s="19" t="s">
        <v>83</v>
      </c>
      <c r="C23" s="19" t="s">
        <v>53</v>
      </c>
      <c r="D23" s="20" t="s">
        <v>54</v>
      </c>
      <c r="E23" s="21">
        <v>53.4</v>
      </c>
      <c r="F23" s="22">
        <v>23.8</v>
      </c>
      <c r="G23" s="22">
        <f>ROUND((1-E23/100)*F23,1)</f>
        <v>11.1</v>
      </c>
      <c r="H23" s="13" t="s">
        <v>55</v>
      </c>
      <c r="I23" s="23" t="s">
        <v>56</v>
      </c>
      <c r="J23" s="13" t="s">
        <v>151</v>
      </c>
      <c r="K23" s="13" t="s">
        <v>62</v>
      </c>
      <c r="L23" s="4"/>
    </row>
    <row r="24" spans="1:12" ht="21.75" customHeight="1">
      <c r="A24" s="18">
        <v>20</v>
      </c>
      <c r="B24" s="19" t="s">
        <v>84</v>
      </c>
      <c r="C24" s="19" t="s">
        <v>53</v>
      </c>
      <c r="D24" s="20" t="s">
        <v>54</v>
      </c>
      <c r="E24" s="21">
        <v>47.7</v>
      </c>
      <c r="F24" s="22">
        <v>4.9000000000000004</v>
      </c>
      <c r="G24" s="22">
        <f>ROUND((1-E24/100)*F24,1)</f>
        <v>2.6</v>
      </c>
      <c r="H24" s="13" t="s">
        <v>55</v>
      </c>
      <c r="I24" s="24" t="s">
        <v>59</v>
      </c>
      <c r="J24" s="13" t="s">
        <v>152</v>
      </c>
      <c r="K24" s="13"/>
      <c r="L24" s="4"/>
    </row>
    <row r="25" spans="1:12" ht="21.75" customHeight="1">
      <c r="A25" s="18">
        <v>21</v>
      </c>
      <c r="B25" s="19" t="s">
        <v>85</v>
      </c>
      <c r="C25" s="19" t="s">
        <v>53</v>
      </c>
      <c r="D25" s="20" t="s">
        <v>54</v>
      </c>
      <c r="E25" s="21">
        <v>31.5</v>
      </c>
      <c r="F25" s="22">
        <v>34.6</v>
      </c>
      <c r="G25" s="22">
        <f>ROUND((1-E25/100)*F25,1)</f>
        <v>23.7</v>
      </c>
      <c r="H25" s="13" t="s">
        <v>55</v>
      </c>
      <c r="I25" s="24" t="s">
        <v>59</v>
      </c>
      <c r="J25" s="13" t="s">
        <v>152</v>
      </c>
      <c r="K25" s="13"/>
      <c r="L25" s="4"/>
    </row>
    <row r="26" spans="1:12" ht="21.75" customHeight="1">
      <c r="A26" s="18">
        <v>22</v>
      </c>
      <c r="B26" s="19" t="s">
        <v>86</v>
      </c>
      <c r="C26" s="19" t="s">
        <v>53</v>
      </c>
      <c r="D26" s="20" t="s">
        <v>54</v>
      </c>
      <c r="E26" s="21">
        <v>18.600000000000001</v>
      </c>
      <c r="F26" s="22">
        <v>27.2</v>
      </c>
      <c r="G26" s="22">
        <f>ROUND((1-E26/100)*F26,1)</f>
        <v>22.1</v>
      </c>
      <c r="H26" s="13" t="s">
        <v>55</v>
      </c>
      <c r="I26" s="24" t="s">
        <v>59</v>
      </c>
      <c r="J26" s="13" t="s">
        <v>152</v>
      </c>
      <c r="K26" s="13" t="s">
        <v>62</v>
      </c>
      <c r="L26" s="4"/>
    </row>
    <row r="27" spans="1:12" ht="21.75" customHeight="1">
      <c r="A27" s="18">
        <v>23</v>
      </c>
      <c r="B27" s="19" t="s">
        <v>87</v>
      </c>
      <c r="C27" s="19" t="s">
        <v>53</v>
      </c>
      <c r="D27" s="20" t="s">
        <v>54</v>
      </c>
      <c r="E27" s="21">
        <v>48.7</v>
      </c>
      <c r="F27" s="22">
        <v>14.3</v>
      </c>
      <c r="G27" s="22">
        <f>ROUND((1-E27/100)*F27,1)</f>
        <v>7.3</v>
      </c>
      <c r="H27" s="13" t="s">
        <v>55</v>
      </c>
      <c r="I27" s="23" t="s">
        <v>56</v>
      </c>
      <c r="J27" s="13" t="s">
        <v>151</v>
      </c>
      <c r="K27" s="13"/>
      <c r="L27" s="4"/>
    </row>
    <row r="28" spans="1:12" ht="21.75" customHeight="1">
      <c r="A28" s="18">
        <v>24</v>
      </c>
      <c r="B28" s="19" t="s">
        <v>88</v>
      </c>
      <c r="C28" s="19" t="s">
        <v>53</v>
      </c>
      <c r="D28" s="20" t="s">
        <v>54</v>
      </c>
      <c r="E28" s="21">
        <v>68</v>
      </c>
      <c r="F28" s="22">
        <v>18.399999999999999</v>
      </c>
      <c r="G28" s="22">
        <f>ROUND((1-E28/100)*F28,1)</f>
        <v>5.9</v>
      </c>
      <c r="H28" s="13" t="s">
        <v>55</v>
      </c>
      <c r="I28" s="24" t="s">
        <v>59</v>
      </c>
      <c r="J28" s="13" t="s">
        <v>152</v>
      </c>
      <c r="K28" s="13"/>
      <c r="L28" s="4"/>
    </row>
    <row r="29" spans="1:12" ht="21.75" customHeight="1">
      <c r="A29" s="18">
        <v>25</v>
      </c>
      <c r="B29" s="19" t="s">
        <v>89</v>
      </c>
      <c r="C29" s="19" t="s">
        <v>53</v>
      </c>
      <c r="D29" s="20" t="s">
        <v>54</v>
      </c>
      <c r="E29" s="21">
        <v>27.5</v>
      </c>
      <c r="F29" s="22">
        <v>8.9</v>
      </c>
      <c r="G29" s="22">
        <f>ROUND((1-E29/100)*F29,1)</f>
        <v>6.5</v>
      </c>
      <c r="H29" s="13" t="s">
        <v>55</v>
      </c>
      <c r="I29" s="24" t="s">
        <v>59</v>
      </c>
      <c r="J29" s="13" t="s">
        <v>152</v>
      </c>
      <c r="K29" s="13"/>
      <c r="L29" s="4"/>
    </row>
    <row r="30" spans="1:12" ht="21.75" customHeight="1">
      <c r="A30" s="18">
        <v>26</v>
      </c>
      <c r="B30" s="19" t="s">
        <v>90</v>
      </c>
      <c r="C30" s="19" t="s">
        <v>53</v>
      </c>
      <c r="D30" s="20" t="s">
        <v>54</v>
      </c>
      <c r="E30" s="21">
        <v>49.3</v>
      </c>
      <c r="F30" s="22">
        <v>18.899999999999999</v>
      </c>
      <c r="G30" s="22">
        <f>ROUND((1-E30/100)*F30,1)</f>
        <v>9.6</v>
      </c>
      <c r="H30" s="13" t="s">
        <v>55</v>
      </c>
      <c r="I30" s="23" t="s">
        <v>56</v>
      </c>
      <c r="J30" s="13" t="s">
        <v>151</v>
      </c>
      <c r="K30" s="13" t="s">
        <v>62</v>
      </c>
      <c r="L30" s="4"/>
    </row>
    <row r="31" spans="1:12" ht="21.75" customHeight="1">
      <c r="A31" s="18">
        <v>27</v>
      </c>
      <c r="B31" s="19" t="s">
        <v>91</v>
      </c>
      <c r="C31" s="19" t="s">
        <v>53</v>
      </c>
      <c r="D31" s="20" t="s">
        <v>54</v>
      </c>
      <c r="E31" s="21">
        <v>7.1</v>
      </c>
      <c r="F31" s="22">
        <v>11.6</v>
      </c>
      <c r="G31" s="22">
        <f>ROUND((1-E31/100)*F31,1)</f>
        <v>10.8</v>
      </c>
      <c r="H31" s="13" t="s">
        <v>55</v>
      </c>
      <c r="I31" s="23" t="s">
        <v>56</v>
      </c>
      <c r="J31" s="13" t="s">
        <v>151</v>
      </c>
      <c r="K31" s="13" t="s">
        <v>62</v>
      </c>
      <c r="L31" s="4"/>
    </row>
    <row r="32" spans="1:12" ht="21.75" customHeight="1">
      <c r="A32" s="18">
        <v>28</v>
      </c>
      <c r="B32" s="19" t="s">
        <v>93</v>
      </c>
      <c r="C32" s="19" t="s">
        <v>53</v>
      </c>
      <c r="D32" s="20" t="s">
        <v>54</v>
      </c>
      <c r="E32" s="21">
        <v>61.8</v>
      </c>
      <c r="F32" s="22">
        <v>50</v>
      </c>
      <c r="G32" s="22">
        <f>ROUND((1-E32/100)*F32,1)</f>
        <v>19.100000000000001</v>
      </c>
      <c r="H32" s="13" t="s">
        <v>55</v>
      </c>
      <c r="I32" s="23" t="s">
        <v>56</v>
      </c>
      <c r="J32" s="13" t="s">
        <v>151</v>
      </c>
      <c r="K32" s="13" t="s">
        <v>62</v>
      </c>
      <c r="L32" s="4"/>
    </row>
    <row r="33" spans="1:12" ht="21.75" customHeight="1">
      <c r="A33" s="18">
        <v>29</v>
      </c>
      <c r="B33" s="19" t="s">
        <v>96</v>
      </c>
      <c r="C33" s="19" t="s">
        <v>53</v>
      </c>
      <c r="D33" s="20" t="s">
        <v>54</v>
      </c>
      <c r="E33" s="21">
        <v>55.7</v>
      </c>
      <c r="F33" s="22">
        <v>9.3000000000000007</v>
      </c>
      <c r="G33" s="22">
        <f>ROUND((1-E33/100)*F33,1)</f>
        <v>4.0999999999999996</v>
      </c>
      <c r="H33" s="13" t="s">
        <v>55</v>
      </c>
      <c r="I33" s="24" t="s">
        <v>59</v>
      </c>
      <c r="J33" s="13" t="s">
        <v>152</v>
      </c>
      <c r="K33" s="13"/>
      <c r="L33" s="4"/>
    </row>
    <row r="34" spans="1:12" ht="21.75" customHeight="1">
      <c r="A34" s="18">
        <v>30</v>
      </c>
      <c r="B34" s="19" t="s">
        <v>97</v>
      </c>
      <c r="C34" s="19" t="s">
        <v>53</v>
      </c>
      <c r="D34" s="20" t="s">
        <v>54</v>
      </c>
      <c r="E34" s="21">
        <v>45.2</v>
      </c>
      <c r="F34" s="22">
        <v>49.3</v>
      </c>
      <c r="G34" s="22">
        <f>ROUND((1-E34/100)*F34,1)</f>
        <v>27</v>
      </c>
      <c r="H34" s="13" t="s">
        <v>55</v>
      </c>
      <c r="I34" s="23" t="s">
        <v>56</v>
      </c>
      <c r="J34" s="13" t="s">
        <v>151</v>
      </c>
      <c r="K34" s="13"/>
      <c r="L34" s="4"/>
    </row>
    <row r="35" spans="1:12" ht="21.75" customHeight="1">
      <c r="A35" s="18">
        <v>31</v>
      </c>
      <c r="B35" s="19" t="s">
        <v>99</v>
      </c>
      <c r="C35" s="19" t="s">
        <v>53</v>
      </c>
      <c r="D35" s="20" t="s">
        <v>54</v>
      </c>
      <c r="E35" s="21">
        <v>42.7</v>
      </c>
      <c r="F35" s="22">
        <v>68.599999999999994</v>
      </c>
      <c r="G35" s="22">
        <f>ROUND((1-E35/100)*F35,1)</f>
        <v>39.299999999999997</v>
      </c>
      <c r="H35" s="13" t="s">
        <v>55</v>
      </c>
      <c r="I35" s="24" t="s">
        <v>59</v>
      </c>
      <c r="J35" s="13" t="s">
        <v>152</v>
      </c>
      <c r="K35" s="13"/>
      <c r="L35" s="4"/>
    </row>
    <row r="36" spans="1:12" ht="21.75" customHeight="1">
      <c r="A36" s="18">
        <v>32</v>
      </c>
      <c r="B36" s="19" t="s">
        <v>101</v>
      </c>
      <c r="C36" s="19" t="s">
        <v>53</v>
      </c>
      <c r="D36" s="20" t="s">
        <v>54</v>
      </c>
      <c r="E36" s="21">
        <v>46.7</v>
      </c>
      <c r="F36" s="22">
        <v>21.3</v>
      </c>
      <c r="G36" s="22">
        <f>ROUND((1-E36/100)*F36,1)</f>
        <v>11.4</v>
      </c>
      <c r="H36" s="13" t="s">
        <v>55</v>
      </c>
      <c r="I36" s="24" t="s">
        <v>59</v>
      </c>
      <c r="J36" s="13" t="s">
        <v>152</v>
      </c>
      <c r="K36" s="13"/>
      <c r="L36" s="4"/>
    </row>
    <row r="37" spans="1:12" ht="21.75" customHeight="1">
      <c r="A37" s="18">
        <v>33</v>
      </c>
      <c r="B37" s="19" t="s">
        <v>102</v>
      </c>
      <c r="C37" s="19" t="s">
        <v>103</v>
      </c>
      <c r="D37" s="20" t="s">
        <v>54</v>
      </c>
      <c r="E37" s="21">
        <v>88.3</v>
      </c>
      <c r="F37" s="22">
        <v>42.6</v>
      </c>
      <c r="G37" s="22">
        <f>ROUND((1-E37/100)*F37,1)</f>
        <v>5</v>
      </c>
      <c r="H37" s="13" t="s">
        <v>55</v>
      </c>
      <c r="I37" s="27" t="s">
        <v>156</v>
      </c>
      <c r="J37" s="13" t="s">
        <v>157</v>
      </c>
      <c r="K37" s="13" t="s">
        <v>62</v>
      </c>
      <c r="L37" s="4"/>
    </row>
    <row r="38" spans="1:12" ht="21.75" customHeight="1">
      <c r="A38" s="18">
        <v>34</v>
      </c>
      <c r="B38" s="19" t="s">
        <v>105</v>
      </c>
      <c r="C38" s="19" t="s">
        <v>103</v>
      </c>
      <c r="D38" s="20" t="s">
        <v>54</v>
      </c>
      <c r="E38" s="21">
        <v>95.3</v>
      </c>
      <c r="F38" s="22">
        <v>174.7</v>
      </c>
      <c r="G38" s="22">
        <f>ROUND((1-E38/100)*F38,1)</f>
        <v>8.1999999999999993</v>
      </c>
      <c r="H38" s="13" t="s">
        <v>55</v>
      </c>
      <c r="I38" s="27" t="s">
        <v>156</v>
      </c>
      <c r="J38" s="13" t="s">
        <v>157</v>
      </c>
      <c r="K38" s="13"/>
      <c r="L38" s="4"/>
    </row>
    <row r="39" spans="1:12" ht="21.75" customHeight="1">
      <c r="A39" s="18">
        <v>35</v>
      </c>
      <c r="B39" s="19" t="s">
        <v>107</v>
      </c>
      <c r="C39" s="19" t="s">
        <v>103</v>
      </c>
      <c r="D39" s="20" t="s">
        <v>54</v>
      </c>
      <c r="E39" s="21">
        <v>95</v>
      </c>
      <c r="F39" s="22">
        <v>17.399999999999999</v>
      </c>
      <c r="G39" s="22">
        <f>ROUND((1-E39/100)*F39,1)</f>
        <v>0.9</v>
      </c>
      <c r="H39" s="13" t="s">
        <v>55</v>
      </c>
      <c r="I39" s="27" t="s">
        <v>156</v>
      </c>
      <c r="J39" s="13" t="s">
        <v>157</v>
      </c>
      <c r="K39" s="13"/>
      <c r="L39" s="4"/>
    </row>
    <row r="40" spans="1:12" ht="21.75" customHeight="1">
      <c r="A40" s="18">
        <v>36</v>
      </c>
      <c r="B40" s="19" t="s">
        <v>108</v>
      </c>
      <c r="C40" s="19" t="s">
        <v>103</v>
      </c>
      <c r="D40" s="20" t="s">
        <v>54</v>
      </c>
      <c r="E40" s="21">
        <v>96.5</v>
      </c>
      <c r="F40" s="22">
        <v>7.7</v>
      </c>
      <c r="G40" s="22">
        <f>ROUND((1-E40/100)*F40,1)</f>
        <v>0.3</v>
      </c>
      <c r="H40" s="13" t="s">
        <v>55</v>
      </c>
      <c r="I40" s="27" t="s">
        <v>156</v>
      </c>
      <c r="J40" s="13" t="s">
        <v>157</v>
      </c>
      <c r="K40" s="13"/>
      <c r="L40" s="4"/>
    </row>
    <row r="41" spans="1:12" ht="21.75" customHeight="1">
      <c r="A41" s="18">
        <v>37</v>
      </c>
      <c r="B41" s="19" t="s">
        <v>109</v>
      </c>
      <c r="C41" s="19" t="s">
        <v>103</v>
      </c>
      <c r="D41" s="20" t="s">
        <v>54</v>
      </c>
      <c r="E41" s="21">
        <v>72.5</v>
      </c>
      <c r="F41" s="22">
        <v>54.5</v>
      </c>
      <c r="G41" s="22">
        <f>ROUND((1-E41/100)*F41,1)</f>
        <v>15</v>
      </c>
      <c r="H41" s="13" t="s">
        <v>55</v>
      </c>
      <c r="I41" s="23" t="s">
        <v>56</v>
      </c>
      <c r="J41" s="13" t="s">
        <v>151</v>
      </c>
      <c r="K41" s="13" t="s">
        <v>62</v>
      </c>
      <c r="L41" s="4"/>
    </row>
    <row r="42" spans="1:12" ht="21.75" customHeight="1">
      <c r="A42" s="18">
        <v>38</v>
      </c>
      <c r="B42" s="19" t="s">
        <v>110</v>
      </c>
      <c r="C42" s="19" t="s">
        <v>103</v>
      </c>
      <c r="D42" s="20" t="s">
        <v>54</v>
      </c>
      <c r="E42" s="21">
        <v>94</v>
      </c>
      <c r="F42" s="22">
        <v>30.9</v>
      </c>
      <c r="G42" s="22">
        <f>ROUND((1-E42/100)*F42,1)</f>
        <v>1.9</v>
      </c>
      <c r="H42" s="13" t="s">
        <v>55</v>
      </c>
      <c r="I42" s="27" t="s">
        <v>156</v>
      </c>
      <c r="J42" s="13" t="s">
        <v>157</v>
      </c>
      <c r="K42" s="13"/>
      <c r="L42" s="4"/>
    </row>
    <row r="43" spans="1:12" ht="21.75" customHeight="1">
      <c r="A43" s="18">
        <v>39</v>
      </c>
      <c r="B43" s="19" t="s">
        <v>112</v>
      </c>
      <c r="C43" s="19" t="s">
        <v>103</v>
      </c>
      <c r="D43" s="20" t="s">
        <v>54</v>
      </c>
      <c r="E43" s="21">
        <v>100</v>
      </c>
      <c r="F43" s="22">
        <v>1.4</v>
      </c>
      <c r="G43" s="22">
        <f>ROUND((1-E43/100)*F43,1)</f>
        <v>0</v>
      </c>
      <c r="H43" s="13" t="s">
        <v>55</v>
      </c>
      <c r="I43" s="27" t="s">
        <v>156</v>
      </c>
      <c r="J43" s="13" t="s">
        <v>157</v>
      </c>
      <c r="K43" s="13"/>
      <c r="L43" s="4"/>
    </row>
    <row r="44" spans="1:12" ht="21.75" customHeight="1">
      <c r="A44" s="18">
        <v>40</v>
      </c>
      <c r="B44" s="19" t="s">
        <v>114</v>
      </c>
      <c r="C44" s="19" t="s">
        <v>103</v>
      </c>
      <c r="D44" s="20" t="s">
        <v>54</v>
      </c>
      <c r="E44" s="21">
        <v>83.6</v>
      </c>
      <c r="F44" s="22">
        <v>40.6</v>
      </c>
      <c r="G44" s="22">
        <f>ROUND((1-E44/100)*F44,1)</f>
        <v>6.7</v>
      </c>
      <c r="H44" s="13" t="s">
        <v>55</v>
      </c>
      <c r="I44" s="23" t="s">
        <v>56</v>
      </c>
      <c r="J44" s="13" t="s">
        <v>151</v>
      </c>
      <c r="K44" s="13" t="s">
        <v>62</v>
      </c>
      <c r="L44" s="4"/>
    </row>
    <row r="45" spans="1:12" ht="21.75" customHeight="1">
      <c r="A45" s="18">
        <v>41</v>
      </c>
      <c r="B45" s="19" t="s">
        <v>116</v>
      </c>
      <c r="C45" s="19" t="s">
        <v>117</v>
      </c>
      <c r="D45" s="20" t="s">
        <v>54</v>
      </c>
      <c r="E45" s="21">
        <v>47.2</v>
      </c>
      <c r="F45" s="22">
        <v>11.7</v>
      </c>
      <c r="G45" s="22">
        <f>ROUND((1-E45/100)*F45,1)</f>
        <v>6.2</v>
      </c>
      <c r="H45" s="13" t="s">
        <v>55</v>
      </c>
      <c r="I45" s="23" t="s">
        <v>56</v>
      </c>
      <c r="J45" s="13" t="s">
        <v>151</v>
      </c>
      <c r="K45" s="13" t="s">
        <v>62</v>
      </c>
      <c r="L45" s="4"/>
    </row>
    <row r="46" spans="1:12" ht="21.75" customHeight="1">
      <c r="A46" s="18">
        <v>42</v>
      </c>
      <c r="B46" s="19" t="s">
        <v>119</v>
      </c>
      <c r="C46" s="19" t="s">
        <v>120</v>
      </c>
      <c r="D46" s="20" t="s">
        <v>54</v>
      </c>
      <c r="E46" s="21">
        <v>95.9</v>
      </c>
      <c r="F46" s="22">
        <v>0.13</v>
      </c>
      <c r="G46" s="22">
        <f>ROUND((1-E46/100)*F46,1)</f>
        <v>0</v>
      </c>
      <c r="H46" s="13" t="s">
        <v>55</v>
      </c>
      <c r="I46" s="27" t="s">
        <v>156</v>
      </c>
      <c r="J46" s="13" t="s">
        <v>157</v>
      </c>
      <c r="K46" s="13"/>
      <c r="L46" s="4"/>
    </row>
    <row r="47" spans="1:12" ht="21.75" customHeight="1">
      <c r="A47" s="18">
        <v>43</v>
      </c>
      <c r="B47" s="19" t="s">
        <v>123</v>
      </c>
      <c r="C47" s="19" t="s">
        <v>120</v>
      </c>
      <c r="D47" s="20" t="s">
        <v>54</v>
      </c>
      <c r="E47" s="21">
        <v>81.3</v>
      </c>
      <c r="F47" s="22">
        <v>0.82</v>
      </c>
      <c r="G47" s="22">
        <f>ROUND((1-E47/100)*F47,1)</f>
        <v>0.2</v>
      </c>
      <c r="H47" s="13" t="s">
        <v>55</v>
      </c>
      <c r="I47" s="23" t="s">
        <v>56</v>
      </c>
      <c r="J47" s="13" t="s">
        <v>151</v>
      </c>
      <c r="K47" s="13"/>
      <c r="L47" s="4"/>
    </row>
    <row r="48" spans="1:12" ht="21.75" customHeight="1">
      <c r="A48" s="18">
        <v>44</v>
      </c>
      <c r="B48" s="19" t="s">
        <v>124</v>
      </c>
      <c r="C48" s="19" t="s">
        <v>120</v>
      </c>
      <c r="D48" s="20" t="s">
        <v>54</v>
      </c>
      <c r="E48" s="21">
        <v>100</v>
      </c>
      <c r="F48" s="22">
        <v>1.0999999999999999E-2</v>
      </c>
      <c r="G48" s="22">
        <f>ROUND((1-E48/100)*F48,1)</f>
        <v>0</v>
      </c>
      <c r="H48" s="13" t="s">
        <v>55</v>
      </c>
      <c r="I48" s="27" t="s">
        <v>156</v>
      </c>
      <c r="J48" s="13" t="s">
        <v>157</v>
      </c>
      <c r="K48" s="13"/>
      <c r="L48" s="4"/>
    </row>
    <row r="49" spans="1:12" ht="21.75" customHeight="1">
      <c r="A49" s="18">
        <v>45</v>
      </c>
      <c r="B49" s="19" t="s">
        <v>125</v>
      </c>
      <c r="C49" s="19" t="s">
        <v>53</v>
      </c>
      <c r="D49" s="25" t="s">
        <v>126</v>
      </c>
      <c r="E49" s="21"/>
      <c r="F49" s="22">
        <v>227.9</v>
      </c>
      <c r="G49" s="22">
        <v>87.2</v>
      </c>
      <c r="H49" s="13" t="s">
        <v>153</v>
      </c>
      <c r="I49" s="24" t="s">
        <v>59</v>
      </c>
      <c r="J49" s="13" t="s">
        <v>152</v>
      </c>
      <c r="K49" s="13" t="s">
        <v>158</v>
      </c>
      <c r="L49" s="4"/>
    </row>
    <row r="50" spans="1:12" ht="21.75" customHeight="1">
      <c r="A50" s="18">
        <v>46</v>
      </c>
      <c r="B50" s="19" t="s">
        <v>128</v>
      </c>
      <c r="C50" s="19" t="s">
        <v>103</v>
      </c>
      <c r="D50" s="25" t="s">
        <v>126</v>
      </c>
      <c r="E50" s="21">
        <v>99.4</v>
      </c>
      <c r="F50" s="22">
        <v>1438</v>
      </c>
      <c r="G50" s="22">
        <f>ROUND((1-E50/100)*F50,1)</f>
        <v>8.6</v>
      </c>
      <c r="H50" s="13" t="s">
        <v>55</v>
      </c>
      <c r="I50" s="27" t="s">
        <v>156</v>
      </c>
      <c r="J50" s="13" t="s">
        <v>157</v>
      </c>
      <c r="K50" s="13" t="s">
        <v>159</v>
      </c>
      <c r="L50" s="4"/>
    </row>
    <row r="51" spans="1:12" ht="21.75" customHeight="1">
      <c r="A51" s="18">
        <v>47</v>
      </c>
      <c r="B51" s="19" t="s">
        <v>131</v>
      </c>
      <c r="C51" s="19" t="s">
        <v>103</v>
      </c>
      <c r="D51" s="25" t="s">
        <v>126</v>
      </c>
      <c r="E51" s="21">
        <v>100</v>
      </c>
      <c r="F51" s="22">
        <v>1410</v>
      </c>
      <c r="G51" s="22">
        <f>ROUND((1-E51/100)*F51,1)</f>
        <v>0</v>
      </c>
      <c r="H51" s="13" t="s">
        <v>55</v>
      </c>
      <c r="I51" s="27" t="s">
        <v>156</v>
      </c>
      <c r="J51" s="13" t="s">
        <v>157</v>
      </c>
      <c r="K51" s="13"/>
      <c r="L51" s="4"/>
    </row>
    <row r="52" spans="1:12" ht="21.75" customHeight="1">
      <c r="A52" s="18">
        <v>48</v>
      </c>
      <c r="B52" s="19" t="s">
        <v>133</v>
      </c>
      <c r="C52" s="19" t="s">
        <v>103</v>
      </c>
      <c r="D52" s="25" t="s">
        <v>126</v>
      </c>
      <c r="E52" s="21">
        <v>98.7</v>
      </c>
      <c r="F52" s="22">
        <v>281</v>
      </c>
      <c r="G52" s="22">
        <f>ROUND((1-E52/100)*F52,1)</f>
        <v>3.7</v>
      </c>
      <c r="H52" s="13" t="s">
        <v>55</v>
      </c>
      <c r="I52" s="27" t="s">
        <v>156</v>
      </c>
      <c r="J52" s="13" t="s">
        <v>157</v>
      </c>
      <c r="K52" s="13"/>
      <c r="L52" s="4"/>
    </row>
    <row r="53" spans="1:12" ht="21.75" customHeight="1">
      <c r="A53" s="18">
        <v>49</v>
      </c>
      <c r="B53" s="19" t="s">
        <v>135</v>
      </c>
      <c r="C53" s="19" t="s">
        <v>103</v>
      </c>
      <c r="D53" s="25" t="s">
        <v>126</v>
      </c>
      <c r="E53" s="21">
        <v>99.6</v>
      </c>
      <c r="F53" s="22">
        <v>245</v>
      </c>
      <c r="G53" s="22">
        <f>ROUND((1-E53/100)*F53,1)</f>
        <v>1</v>
      </c>
      <c r="H53" s="13" t="s">
        <v>55</v>
      </c>
      <c r="I53" s="27" t="s">
        <v>156</v>
      </c>
      <c r="J53" s="13" t="s">
        <v>157</v>
      </c>
      <c r="K53" s="13" t="s">
        <v>160</v>
      </c>
      <c r="L53" s="4"/>
    </row>
    <row r="54" spans="1:12" ht="21.75" customHeight="1">
      <c r="A54" s="18">
        <v>50</v>
      </c>
      <c r="B54" s="19" t="s">
        <v>136</v>
      </c>
      <c r="C54" s="19" t="s">
        <v>53</v>
      </c>
      <c r="D54" s="25" t="s">
        <v>126</v>
      </c>
      <c r="E54" s="21">
        <v>76.2</v>
      </c>
      <c r="F54" s="22">
        <v>56.4</v>
      </c>
      <c r="G54" s="22">
        <f>ROUND((1-E54/100)*F54,1)</f>
        <v>13.4</v>
      </c>
      <c r="H54" s="13" t="s">
        <v>55</v>
      </c>
      <c r="I54" s="24" t="s">
        <v>59</v>
      </c>
      <c r="J54" s="13" t="s">
        <v>152</v>
      </c>
      <c r="K54" s="13"/>
      <c r="L54" s="4"/>
    </row>
    <row r="55" spans="1:12" ht="21.75" customHeight="1">
      <c r="A55" s="18">
        <v>51</v>
      </c>
      <c r="B55" s="19" t="s">
        <v>138</v>
      </c>
      <c r="C55" s="19" t="s">
        <v>103</v>
      </c>
      <c r="D55" s="25" t="s">
        <v>126</v>
      </c>
      <c r="E55" s="21">
        <v>99.1</v>
      </c>
      <c r="F55" s="22">
        <v>118</v>
      </c>
      <c r="G55" s="22">
        <f>ROUND((1-E55/100)*F55,1)</f>
        <v>1.1000000000000001</v>
      </c>
      <c r="H55" s="13" t="s">
        <v>55</v>
      </c>
      <c r="I55" s="27" t="s">
        <v>156</v>
      </c>
      <c r="J55" s="13" t="s">
        <v>157</v>
      </c>
      <c r="K55" s="13"/>
      <c r="L55" s="4"/>
    </row>
    <row r="56" spans="1:12" ht="21.75" customHeight="1">
      <c r="A56" s="18">
        <v>52</v>
      </c>
      <c r="B56" s="19" t="s">
        <v>142</v>
      </c>
      <c r="C56" s="19" t="s">
        <v>53</v>
      </c>
      <c r="D56" s="25" t="s">
        <v>126</v>
      </c>
      <c r="E56" s="21">
        <v>89.5</v>
      </c>
      <c r="F56" s="22">
        <v>34.4</v>
      </c>
      <c r="G56" s="22">
        <f>ROUND((1-E56/100)*F56,1)</f>
        <v>3.6</v>
      </c>
      <c r="H56" s="13" t="s">
        <v>55</v>
      </c>
      <c r="I56" s="24" t="s">
        <v>59</v>
      </c>
      <c r="J56" s="13" t="s">
        <v>152</v>
      </c>
      <c r="K56" s="13"/>
      <c r="L56" s="4"/>
    </row>
    <row r="57" spans="1:12" ht="21.75" customHeight="1">
      <c r="A57" s="18">
        <v>53</v>
      </c>
      <c r="B57" s="19" t="s">
        <v>144</v>
      </c>
      <c r="C57" s="19" t="s">
        <v>53</v>
      </c>
      <c r="D57" s="25" t="s">
        <v>126</v>
      </c>
      <c r="E57" s="21">
        <v>71.099999999999994</v>
      </c>
      <c r="F57" s="22">
        <v>31.9</v>
      </c>
      <c r="G57" s="22">
        <f>ROUND((1-E57/100)*F57,1)</f>
        <v>9.1999999999999993</v>
      </c>
      <c r="H57" s="13" t="s">
        <v>55</v>
      </c>
      <c r="I57" s="24" t="s">
        <v>59</v>
      </c>
      <c r="J57" s="13" t="s">
        <v>152</v>
      </c>
      <c r="K57" s="13"/>
      <c r="L57" s="4"/>
    </row>
    <row r="58" spans="1:12" ht="21.75" customHeight="1">
      <c r="A58" s="18">
        <v>54</v>
      </c>
      <c r="B58" s="19" t="s">
        <v>145</v>
      </c>
      <c r="C58" s="19" t="s">
        <v>120</v>
      </c>
      <c r="D58" s="25" t="s">
        <v>126</v>
      </c>
      <c r="E58" s="21">
        <v>20.9</v>
      </c>
      <c r="F58" s="22">
        <v>10.3</v>
      </c>
      <c r="G58" s="22">
        <f>ROUND((1-E58/100)*F58,1)</f>
        <v>8.1</v>
      </c>
      <c r="H58" s="13" t="s">
        <v>55</v>
      </c>
      <c r="I58" s="23" t="s">
        <v>56</v>
      </c>
      <c r="J58" s="13" t="s">
        <v>151</v>
      </c>
      <c r="K58" s="13" t="s">
        <v>161</v>
      </c>
      <c r="L58" s="4"/>
    </row>
  </sheetData>
  <autoFilter ref="A4:K4" xr:uid="{00000000-0009-0000-0000-000002000000}"/>
  <mergeCells count="1">
    <mergeCell ref="A2:L2"/>
  </mergeCells>
  <pageMargins left="0.75" right="0.75" top="1" bottom="1" header="0.511811023622047" footer="0.51180555555555596"/>
  <pageSetup paperSize="9" fitToHeight="0" orientation="landscape" horizontalDpi="300" verticalDpi="300"/>
  <headerFooter>
    <oddFooter>&amp;LGold Standard · Basic-Services Index v2.0&amp;R&amp;P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9BD"/>
    <pageSetUpPr fitToPage="1"/>
  </sheetPr>
  <dimension ref="A1:L58"/>
  <sheetViews>
    <sheetView showGridLines="0" zoomScaleNormal="100" workbookViewId="0">
      <pane xSplit="2" ySplit="4" topLeftCell="C5" activePane="bottomRight" state="frozen"/>
      <selection pane="bottomRight"/>
      <selection pane="bottomLeft" activeCell="A5" sqref="A5"/>
      <selection pane="topRight" activeCell="C1" sqref="C1"/>
    </sheetView>
  </sheetViews>
  <sheetFormatPr defaultColWidth="8.7109375" defaultRowHeight="14.25"/>
  <cols>
    <col min="1" max="1" width="4" customWidth="1"/>
    <col min="2" max="2" width="20" customWidth="1"/>
    <col min="3" max="3" width="10" customWidth="1"/>
    <col min="4" max="4" width="6" customWidth="1"/>
    <col min="5" max="5" width="11" customWidth="1"/>
    <col min="6" max="6" width="9" customWidth="1"/>
    <col min="7" max="8" width="13" customWidth="1"/>
    <col min="9" max="9" width="32.28515625" customWidth="1"/>
    <col min="10" max="10" width="23" customWidth="1"/>
    <col min="11" max="11" width="34" customWidth="1"/>
    <col min="12" max="12" width="30" customWidth="1"/>
  </cols>
  <sheetData>
    <row r="1" spans="1:12" ht="15.75" customHeight="1">
      <c r="A1" s="16" t="s">
        <v>162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45.75" customHeight="1">
      <c r="A2" s="3" t="s">
        <v>163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4.2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30" customHeight="1">
      <c r="A4" s="17" t="s">
        <v>41</v>
      </c>
      <c r="B4" s="17" t="s">
        <v>42</v>
      </c>
      <c r="C4" s="17" t="s">
        <v>43</v>
      </c>
      <c r="D4" s="17" t="s">
        <v>44</v>
      </c>
      <c r="E4" s="17" t="s">
        <v>164</v>
      </c>
      <c r="F4" s="17" t="s">
        <v>46</v>
      </c>
      <c r="G4" s="17" t="s">
        <v>165</v>
      </c>
      <c r="H4" s="17" t="s">
        <v>166</v>
      </c>
      <c r="I4" s="17" t="s">
        <v>167</v>
      </c>
      <c r="J4" s="17" t="s">
        <v>168</v>
      </c>
      <c r="K4" s="17" t="s">
        <v>51</v>
      </c>
      <c r="L4" s="4"/>
    </row>
    <row r="5" spans="1:12" ht="21.75" customHeight="1">
      <c r="A5" s="18">
        <v>1</v>
      </c>
      <c r="B5" s="19" t="s">
        <v>52</v>
      </c>
      <c r="C5" s="19" t="s">
        <v>53</v>
      </c>
      <c r="D5" s="20" t="s">
        <v>54</v>
      </c>
      <c r="E5" s="28" t="s">
        <v>169</v>
      </c>
      <c r="F5" s="22">
        <v>37.9</v>
      </c>
      <c r="G5" s="22"/>
      <c r="H5" s="22">
        <f>ROUND(33/100*F5,1)</f>
        <v>12.5</v>
      </c>
      <c r="I5" s="26" t="s">
        <v>170</v>
      </c>
      <c r="J5" s="27" t="s">
        <v>171</v>
      </c>
      <c r="K5" s="13" t="s">
        <v>172</v>
      </c>
      <c r="L5" s="4"/>
    </row>
    <row r="6" spans="1:12" ht="21.75" customHeight="1">
      <c r="A6" s="18">
        <v>2</v>
      </c>
      <c r="B6" s="19" t="s">
        <v>58</v>
      </c>
      <c r="C6" s="19" t="s">
        <v>53</v>
      </c>
      <c r="D6" s="20" t="s">
        <v>54</v>
      </c>
      <c r="E6" s="28" t="s">
        <v>169</v>
      </c>
      <c r="F6" s="22">
        <v>14.5</v>
      </c>
      <c r="G6" s="22"/>
      <c r="H6" s="22">
        <f>ROUND(24.6/100*F6,1)</f>
        <v>3.6</v>
      </c>
      <c r="I6" s="26" t="s">
        <v>170</v>
      </c>
      <c r="J6" s="27" t="s">
        <v>171</v>
      </c>
      <c r="K6" s="13" t="s">
        <v>172</v>
      </c>
      <c r="L6" s="4"/>
    </row>
    <row r="7" spans="1:12" ht="21.75" customHeight="1">
      <c r="A7" s="18">
        <v>3</v>
      </c>
      <c r="B7" s="19" t="s">
        <v>61</v>
      </c>
      <c r="C7" s="19" t="s">
        <v>53</v>
      </c>
      <c r="D7" s="20" t="s">
        <v>54</v>
      </c>
      <c r="E7" s="28" t="s">
        <v>169</v>
      </c>
      <c r="F7" s="22">
        <v>23.5</v>
      </c>
      <c r="G7" s="22"/>
      <c r="H7" s="22">
        <f>ROUND(21/100*F7,1)</f>
        <v>4.9000000000000004</v>
      </c>
      <c r="I7" s="26" t="s">
        <v>170</v>
      </c>
      <c r="J7" s="27" t="s">
        <v>171</v>
      </c>
      <c r="K7" s="13" t="s">
        <v>173</v>
      </c>
      <c r="L7" s="4"/>
    </row>
    <row r="8" spans="1:12" ht="21.75" customHeight="1">
      <c r="A8" s="18">
        <v>4</v>
      </c>
      <c r="B8" s="19" t="s">
        <v>63</v>
      </c>
      <c r="C8" s="19" t="s">
        <v>53</v>
      </c>
      <c r="D8" s="20" t="s">
        <v>54</v>
      </c>
      <c r="E8" s="28" t="s">
        <v>169</v>
      </c>
      <c r="F8" s="22">
        <v>13.2</v>
      </c>
      <c r="G8" s="22"/>
      <c r="H8" s="22">
        <f>ROUND(18.2/100*F8,1)</f>
        <v>2.4</v>
      </c>
      <c r="I8" s="26" t="s">
        <v>170</v>
      </c>
      <c r="J8" s="27" t="s">
        <v>171</v>
      </c>
      <c r="K8" s="13" t="s">
        <v>172</v>
      </c>
      <c r="L8" s="4"/>
    </row>
    <row r="9" spans="1:12" ht="21.75" customHeight="1">
      <c r="A9" s="18">
        <v>5</v>
      </c>
      <c r="B9" s="19" t="s">
        <v>64</v>
      </c>
      <c r="C9" s="19" t="s">
        <v>53</v>
      </c>
      <c r="D9" s="20" t="s">
        <v>54</v>
      </c>
      <c r="E9" s="29">
        <v>6.13</v>
      </c>
      <c r="F9" s="22">
        <v>5.6</v>
      </c>
      <c r="G9" s="22">
        <f>ROUND((1-E9/100)*F9,1)</f>
        <v>5.3</v>
      </c>
      <c r="H9" s="22">
        <f>ROUND(37.1/100*F9,1)</f>
        <v>2.1</v>
      </c>
      <c r="I9" s="13" t="s">
        <v>174</v>
      </c>
      <c r="J9" s="27" t="s">
        <v>171</v>
      </c>
      <c r="K9" s="13" t="s">
        <v>62</v>
      </c>
      <c r="L9" s="4"/>
    </row>
    <row r="10" spans="1:12" ht="21.75" customHeight="1">
      <c r="A10" s="18">
        <v>6</v>
      </c>
      <c r="B10" s="19" t="s">
        <v>66</v>
      </c>
      <c r="C10" s="19" t="s">
        <v>53</v>
      </c>
      <c r="D10" s="20" t="s">
        <v>54</v>
      </c>
      <c r="E10" s="29">
        <v>6.25</v>
      </c>
      <c r="F10" s="22">
        <v>19.3</v>
      </c>
      <c r="G10" s="22">
        <f>ROUND((1-E10/100)*F10,1)</f>
        <v>18.100000000000001</v>
      </c>
      <c r="H10" s="22">
        <f>ROUND(35.5/100*F10,1)</f>
        <v>6.9</v>
      </c>
      <c r="I10" s="13" t="s">
        <v>174</v>
      </c>
      <c r="J10" s="27" t="s">
        <v>171</v>
      </c>
      <c r="K10" s="13" t="s">
        <v>62</v>
      </c>
      <c r="L10" s="4"/>
    </row>
    <row r="11" spans="1:12" ht="21.75" customHeight="1">
      <c r="A11" s="18">
        <v>7</v>
      </c>
      <c r="B11" s="19" t="s">
        <v>67</v>
      </c>
      <c r="C11" s="19" t="s">
        <v>53</v>
      </c>
      <c r="D11" s="20" t="s">
        <v>54</v>
      </c>
      <c r="E11" s="28" t="s">
        <v>169</v>
      </c>
      <c r="F11" s="22">
        <v>0.85</v>
      </c>
      <c r="G11" s="22"/>
      <c r="H11" s="22">
        <f>ROUND(8.93/100*F11,1)</f>
        <v>0.1</v>
      </c>
      <c r="I11" s="26" t="s">
        <v>170</v>
      </c>
      <c r="J11" s="27" t="s">
        <v>171</v>
      </c>
      <c r="K11" s="13" t="s">
        <v>172</v>
      </c>
      <c r="L11" s="4"/>
    </row>
    <row r="12" spans="1:12" ht="21.75" customHeight="1">
      <c r="A12" s="18">
        <v>8</v>
      </c>
      <c r="B12" s="19" t="s">
        <v>68</v>
      </c>
      <c r="C12" s="19" t="s">
        <v>53</v>
      </c>
      <c r="D12" s="20" t="s">
        <v>54</v>
      </c>
      <c r="E12" s="29">
        <v>11.58</v>
      </c>
      <c r="F12" s="22">
        <v>105.8</v>
      </c>
      <c r="G12" s="22">
        <f>ROUND((1-E12/100)*F12,1)</f>
        <v>93.5</v>
      </c>
      <c r="H12" s="22">
        <f>ROUND(40.9/100*F12,1)</f>
        <v>43.3</v>
      </c>
      <c r="I12" s="13" t="s">
        <v>174</v>
      </c>
      <c r="J12" s="27" t="s">
        <v>171</v>
      </c>
      <c r="K12" s="13" t="s">
        <v>62</v>
      </c>
      <c r="L12" s="4"/>
    </row>
    <row r="13" spans="1:12" ht="21.75" customHeight="1">
      <c r="A13" s="18">
        <v>9</v>
      </c>
      <c r="B13" s="19" t="s">
        <v>69</v>
      </c>
      <c r="C13" s="19" t="s">
        <v>53</v>
      </c>
      <c r="D13" s="20" t="s">
        <v>54</v>
      </c>
      <c r="E13" s="28" t="s">
        <v>169</v>
      </c>
      <c r="F13" s="22">
        <v>1.1399999999999999</v>
      </c>
      <c r="G13" s="22"/>
      <c r="H13" s="22">
        <f>ROUND(9.1/100*F13,1)</f>
        <v>0.1</v>
      </c>
      <c r="I13" s="26" t="s">
        <v>170</v>
      </c>
      <c r="J13" s="27" t="s">
        <v>171</v>
      </c>
      <c r="K13" s="13" t="s">
        <v>172</v>
      </c>
      <c r="L13" s="4"/>
    </row>
    <row r="14" spans="1:12" ht="21.75" customHeight="1">
      <c r="A14" s="18">
        <v>10</v>
      </c>
      <c r="B14" s="19" t="s">
        <v>71</v>
      </c>
      <c r="C14" s="19" t="s">
        <v>53</v>
      </c>
      <c r="D14" s="20" t="s">
        <v>54</v>
      </c>
      <c r="E14" s="28" t="s">
        <v>169</v>
      </c>
      <c r="F14" s="22">
        <v>3.7</v>
      </c>
      <c r="G14" s="22"/>
      <c r="H14" s="22">
        <f>ROUND(30.55/100*F14,1)</f>
        <v>1.1000000000000001</v>
      </c>
      <c r="I14" s="26" t="s">
        <v>170</v>
      </c>
      <c r="J14" s="27" t="s">
        <v>171</v>
      </c>
      <c r="K14" s="13" t="s">
        <v>172</v>
      </c>
      <c r="L14" s="4"/>
    </row>
    <row r="15" spans="1:12" ht="21.75" customHeight="1">
      <c r="A15" s="18">
        <v>11</v>
      </c>
      <c r="B15" s="19" t="s">
        <v>73</v>
      </c>
      <c r="C15" s="19" t="s">
        <v>53</v>
      </c>
      <c r="D15" s="20" t="s">
        <v>54</v>
      </c>
      <c r="E15" s="29">
        <v>13.24</v>
      </c>
      <c r="F15" s="22">
        <v>129.69999999999999</v>
      </c>
      <c r="G15" s="22">
        <f>ROUND((1-E15/100)*F15,1)</f>
        <v>112.5</v>
      </c>
      <c r="H15" s="22">
        <f>ROUND(20.5/100*F15,1)</f>
        <v>26.6</v>
      </c>
      <c r="I15" s="13" t="s">
        <v>174</v>
      </c>
      <c r="J15" s="27" t="s">
        <v>171</v>
      </c>
      <c r="K15" s="13"/>
      <c r="L15" s="4"/>
    </row>
    <row r="16" spans="1:12" ht="21.75" customHeight="1">
      <c r="A16" s="18">
        <v>12</v>
      </c>
      <c r="B16" s="19" t="s">
        <v>75</v>
      </c>
      <c r="C16" s="19" t="s">
        <v>53</v>
      </c>
      <c r="D16" s="20" t="s">
        <v>54</v>
      </c>
      <c r="E16" s="29">
        <v>47.67</v>
      </c>
      <c r="F16" s="22">
        <v>2.8</v>
      </c>
      <c r="G16" s="22">
        <f>ROUND((1-E16/100)*F16,1)</f>
        <v>1.5</v>
      </c>
      <c r="H16" s="22">
        <f>ROUND(8.4/100*F16,1)</f>
        <v>0.2</v>
      </c>
      <c r="I16" s="13" t="s">
        <v>174</v>
      </c>
      <c r="J16" s="27" t="s">
        <v>171</v>
      </c>
      <c r="K16" s="13"/>
      <c r="L16" s="4"/>
    </row>
    <row r="17" spans="1:12" ht="21.75" customHeight="1">
      <c r="A17" s="18">
        <v>13</v>
      </c>
      <c r="B17" s="19" t="s">
        <v>76</v>
      </c>
      <c r="C17" s="19" t="s">
        <v>53</v>
      </c>
      <c r="D17" s="20" t="s">
        <v>54</v>
      </c>
      <c r="E17" s="28" t="s">
        <v>169</v>
      </c>
      <c r="F17" s="22">
        <v>14.5</v>
      </c>
      <c r="G17" s="22"/>
      <c r="H17" s="22">
        <f>ROUND(16.4/100*F17,1)</f>
        <v>2.4</v>
      </c>
      <c r="I17" s="26" t="s">
        <v>170</v>
      </c>
      <c r="J17" s="27" t="s">
        <v>171</v>
      </c>
      <c r="K17" s="13" t="s">
        <v>172</v>
      </c>
      <c r="L17" s="4"/>
    </row>
    <row r="18" spans="1:12" ht="21.75" customHeight="1">
      <c r="A18" s="18">
        <v>14</v>
      </c>
      <c r="B18" s="19" t="s">
        <v>77</v>
      </c>
      <c r="C18" s="19" t="s">
        <v>53</v>
      </c>
      <c r="D18" s="20" t="s">
        <v>54</v>
      </c>
      <c r="E18" s="29">
        <v>23.87</v>
      </c>
      <c r="F18" s="22">
        <v>2.2000000000000002</v>
      </c>
      <c r="G18" s="22">
        <f>ROUND((1-E18/100)*F18,1)</f>
        <v>1.7</v>
      </c>
      <c r="H18" s="22">
        <f>ROUND(23.4/100*F18,1)</f>
        <v>0.5</v>
      </c>
      <c r="I18" s="13" t="s">
        <v>174</v>
      </c>
      <c r="J18" s="27" t="s">
        <v>171</v>
      </c>
      <c r="K18" s="13"/>
      <c r="L18" s="4"/>
    </row>
    <row r="19" spans="1:12" ht="21.75" customHeight="1">
      <c r="A19" s="18">
        <v>15</v>
      </c>
      <c r="B19" s="19" t="s">
        <v>79</v>
      </c>
      <c r="C19" s="19" t="s">
        <v>53</v>
      </c>
      <c r="D19" s="20" t="s">
        <v>54</v>
      </c>
      <c r="E19" s="29">
        <v>28.22</v>
      </c>
      <c r="F19" s="22">
        <v>2.2999999999999998</v>
      </c>
      <c r="G19" s="22">
        <f>ROUND((1-E19/100)*F19,1)</f>
        <v>1.7</v>
      </c>
      <c r="H19" s="22">
        <f>ROUND(15.4/100*F19,1)</f>
        <v>0.4</v>
      </c>
      <c r="I19" s="13" t="s">
        <v>174</v>
      </c>
      <c r="J19" s="27" t="s">
        <v>171</v>
      </c>
      <c r="K19" s="13"/>
      <c r="L19" s="4"/>
    </row>
    <row r="20" spans="1:12" ht="21.75" customHeight="1">
      <c r="A20" s="18">
        <v>16</v>
      </c>
      <c r="B20" s="19" t="s">
        <v>80</v>
      </c>
      <c r="C20" s="19" t="s">
        <v>53</v>
      </c>
      <c r="D20" s="20" t="s">
        <v>54</v>
      </c>
      <c r="E20" s="28" t="s">
        <v>169</v>
      </c>
      <c r="F20" s="22">
        <v>5.6</v>
      </c>
      <c r="G20" s="22"/>
      <c r="H20" s="22">
        <f>ROUND(14.4/100*F20,1)</f>
        <v>0.8</v>
      </c>
      <c r="I20" s="26" t="s">
        <v>170</v>
      </c>
      <c r="J20" s="27" t="s">
        <v>171</v>
      </c>
      <c r="K20" s="13" t="s">
        <v>172</v>
      </c>
      <c r="L20" s="4"/>
    </row>
    <row r="21" spans="1:12" ht="21.75" customHeight="1">
      <c r="A21" s="18">
        <v>17</v>
      </c>
      <c r="B21" s="19" t="s">
        <v>81</v>
      </c>
      <c r="C21" s="19" t="s">
        <v>53</v>
      </c>
      <c r="D21" s="20" t="s">
        <v>54</v>
      </c>
      <c r="E21" s="29">
        <v>22.24</v>
      </c>
      <c r="F21" s="22">
        <v>31</v>
      </c>
      <c r="G21" s="22">
        <f>ROUND((1-E21/100)*F21,1)</f>
        <v>24.1</v>
      </c>
      <c r="H21" s="22">
        <f>ROUND(42/100*F21,1)</f>
        <v>13</v>
      </c>
      <c r="I21" s="13" t="s">
        <v>174</v>
      </c>
      <c r="J21" s="27" t="s">
        <v>171</v>
      </c>
      <c r="K21" s="13"/>
      <c r="L21" s="4"/>
    </row>
    <row r="22" spans="1:12" ht="21.75" customHeight="1">
      <c r="A22" s="18">
        <v>18</v>
      </c>
      <c r="B22" s="19" t="s">
        <v>82</v>
      </c>
      <c r="C22" s="19" t="s">
        <v>53</v>
      </c>
      <c r="D22" s="20" t="s">
        <v>54</v>
      </c>
      <c r="E22" s="29">
        <v>17.760000000000002</v>
      </c>
      <c r="F22" s="22">
        <v>21.2</v>
      </c>
      <c r="G22" s="22">
        <f>ROUND((1-E22/100)*F22,1)</f>
        <v>17.399999999999999</v>
      </c>
      <c r="H22" s="22">
        <f>ROUND(7.3/100*F22,1)</f>
        <v>1.5</v>
      </c>
      <c r="I22" s="13" t="s">
        <v>174</v>
      </c>
      <c r="J22" s="27" t="s">
        <v>171</v>
      </c>
      <c r="K22" s="13"/>
      <c r="L22" s="4"/>
    </row>
    <row r="23" spans="1:12" ht="21.75" customHeight="1">
      <c r="A23" s="18">
        <v>19</v>
      </c>
      <c r="B23" s="19" t="s">
        <v>83</v>
      </c>
      <c r="C23" s="19" t="s">
        <v>53</v>
      </c>
      <c r="D23" s="20" t="s">
        <v>54</v>
      </c>
      <c r="E23" s="28" t="s">
        <v>169</v>
      </c>
      <c r="F23" s="22">
        <v>23.8</v>
      </c>
      <c r="G23" s="22"/>
      <c r="H23" s="22">
        <f>ROUND(11.7/100*F23,1)</f>
        <v>2.8</v>
      </c>
      <c r="I23" s="26" t="s">
        <v>170</v>
      </c>
      <c r="J23" s="27" t="s">
        <v>171</v>
      </c>
      <c r="K23" s="13" t="s">
        <v>173</v>
      </c>
      <c r="L23" s="4"/>
    </row>
    <row r="24" spans="1:12" ht="21.75" customHeight="1">
      <c r="A24" s="18">
        <v>20</v>
      </c>
      <c r="B24" s="19" t="s">
        <v>84</v>
      </c>
      <c r="C24" s="19" t="s">
        <v>53</v>
      </c>
      <c r="D24" s="20" t="s">
        <v>54</v>
      </c>
      <c r="E24" s="28" t="s">
        <v>169</v>
      </c>
      <c r="F24" s="22">
        <v>4.9000000000000004</v>
      </c>
      <c r="G24" s="22"/>
      <c r="H24" s="22">
        <f>ROUND(13.3/100*F24,1)</f>
        <v>0.7</v>
      </c>
      <c r="I24" s="26" t="s">
        <v>170</v>
      </c>
      <c r="J24" s="27" t="s">
        <v>171</v>
      </c>
      <c r="K24" s="13" t="s">
        <v>172</v>
      </c>
      <c r="L24" s="4"/>
    </row>
    <row r="25" spans="1:12" ht="21.75" customHeight="1">
      <c r="A25" s="18">
        <v>21</v>
      </c>
      <c r="B25" s="19" t="s">
        <v>85</v>
      </c>
      <c r="C25" s="19" t="s">
        <v>53</v>
      </c>
      <c r="D25" s="20" t="s">
        <v>54</v>
      </c>
      <c r="E25" s="28" t="s">
        <v>169</v>
      </c>
      <c r="F25" s="22">
        <v>34.6</v>
      </c>
      <c r="G25" s="22"/>
      <c r="H25" s="22">
        <f>ROUND(27/100*F25,1)</f>
        <v>9.3000000000000007</v>
      </c>
      <c r="I25" s="26" t="s">
        <v>170</v>
      </c>
      <c r="J25" s="27" t="s">
        <v>171</v>
      </c>
      <c r="K25" s="13" t="s">
        <v>172</v>
      </c>
      <c r="L25" s="4"/>
    </row>
    <row r="26" spans="1:12" ht="21.75" customHeight="1">
      <c r="A26" s="18">
        <v>22</v>
      </c>
      <c r="B26" s="19" t="s">
        <v>86</v>
      </c>
      <c r="C26" s="19" t="s">
        <v>53</v>
      </c>
      <c r="D26" s="20" t="s">
        <v>54</v>
      </c>
      <c r="E26" s="28" t="s">
        <v>169</v>
      </c>
      <c r="F26" s="22">
        <v>27.2</v>
      </c>
      <c r="G26" s="22"/>
      <c r="H26" s="22">
        <f>ROUND(31.5/100*F26,1)</f>
        <v>8.6</v>
      </c>
      <c r="I26" s="26" t="s">
        <v>170</v>
      </c>
      <c r="J26" s="27" t="s">
        <v>171</v>
      </c>
      <c r="K26" s="13" t="s">
        <v>173</v>
      </c>
      <c r="L26" s="4"/>
    </row>
    <row r="27" spans="1:12" ht="21.75" customHeight="1">
      <c r="A27" s="18">
        <v>23</v>
      </c>
      <c r="B27" s="19" t="s">
        <v>87</v>
      </c>
      <c r="C27" s="19" t="s">
        <v>53</v>
      </c>
      <c r="D27" s="20" t="s">
        <v>54</v>
      </c>
      <c r="E27" s="29">
        <v>12.1</v>
      </c>
      <c r="F27" s="22">
        <v>14.3</v>
      </c>
      <c r="G27" s="22">
        <f>ROUND((1-E27/100)*F27,1)</f>
        <v>12.6</v>
      </c>
      <c r="H27" s="22">
        <f>ROUND(15.6/100*F27,1)</f>
        <v>2.2000000000000002</v>
      </c>
      <c r="I27" s="13" t="s">
        <v>174</v>
      </c>
      <c r="J27" s="27" t="s">
        <v>171</v>
      </c>
      <c r="K27" s="13"/>
      <c r="L27" s="4"/>
    </row>
    <row r="28" spans="1:12" ht="21.75" customHeight="1">
      <c r="A28" s="18">
        <v>24</v>
      </c>
      <c r="B28" s="19" t="s">
        <v>88</v>
      </c>
      <c r="C28" s="19" t="s">
        <v>53</v>
      </c>
      <c r="D28" s="20" t="s">
        <v>54</v>
      </c>
      <c r="E28" s="29">
        <v>26.69</v>
      </c>
      <c r="F28" s="22">
        <v>18.399999999999999</v>
      </c>
      <c r="G28" s="22">
        <f>ROUND((1-E28/100)*F28,1)</f>
        <v>13.5</v>
      </c>
      <c r="H28" s="22">
        <f>ROUND(11/100*F28,1)</f>
        <v>2</v>
      </c>
      <c r="I28" s="13" t="s">
        <v>174</v>
      </c>
      <c r="J28" s="27" t="s">
        <v>171</v>
      </c>
      <c r="K28" s="13"/>
      <c r="L28" s="4"/>
    </row>
    <row r="29" spans="1:12" ht="21.75" customHeight="1">
      <c r="A29" s="18">
        <v>25</v>
      </c>
      <c r="B29" s="19" t="s">
        <v>89</v>
      </c>
      <c r="C29" s="19" t="s">
        <v>53</v>
      </c>
      <c r="D29" s="20" t="s">
        <v>54</v>
      </c>
      <c r="E29" s="29">
        <v>10.26</v>
      </c>
      <c r="F29" s="22">
        <v>8.9</v>
      </c>
      <c r="G29" s="22">
        <f>ROUND((1-E29/100)*F29,1)</f>
        <v>8</v>
      </c>
      <c r="H29" s="22">
        <f>ROUND(27.2/100*F29,1)</f>
        <v>2.4</v>
      </c>
      <c r="I29" s="13" t="s">
        <v>174</v>
      </c>
      <c r="J29" s="27" t="s">
        <v>171</v>
      </c>
      <c r="K29" s="13"/>
      <c r="L29" s="4"/>
    </row>
    <row r="30" spans="1:12" ht="21.75" customHeight="1">
      <c r="A30" s="18">
        <v>26</v>
      </c>
      <c r="B30" s="19" t="s">
        <v>90</v>
      </c>
      <c r="C30" s="19" t="s">
        <v>53</v>
      </c>
      <c r="D30" s="20" t="s">
        <v>54</v>
      </c>
      <c r="E30" s="28" t="s">
        <v>169</v>
      </c>
      <c r="F30" s="22">
        <v>18.899999999999999</v>
      </c>
      <c r="G30" s="22"/>
      <c r="H30" s="22">
        <f>ROUND(13.3/100*F30,1)</f>
        <v>2.5</v>
      </c>
      <c r="I30" s="26" t="s">
        <v>170</v>
      </c>
      <c r="J30" s="27" t="s">
        <v>171</v>
      </c>
      <c r="K30" s="13" t="s">
        <v>173</v>
      </c>
      <c r="L30" s="4"/>
    </row>
    <row r="31" spans="1:12" ht="21.75" customHeight="1">
      <c r="A31" s="18">
        <v>27</v>
      </c>
      <c r="B31" s="19" t="s">
        <v>91</v>
      </c>
      <c r="C31" s="19" t="s">
        <v>53</v>
      </c>
      <c r="D31" s="20" t="s">
        <v>54</v>
      </c>
      <c r="E31" s="28" t="s">
        <v>169</v>
      </c>
      <c r="F31" s="22">
        <v>11.6</v>
      </c>
      <c r="G31" s="22"/>
      <c r="H31" s="22">
        <f>ROUND(21.5/100*F31,1)</f>
        <v>2.5</v>
      </c>
      <c r="I31" s="26" t="s">
        <v>170</v>
      </c>
      <c r="J31" s="27" t="s">
        <v>171</v>
      </c>
      <c r="K31" s="13" t="s">
        <v>173</v>
      </c>
      <c r="L31" s="4"/>
    </row>
    <row r="32" spans="1:12" ht="21.75" customHeight="1">
      <c r="A32" s="18">
        <v>28</v>
      </c>
      <c r="B32" s="19" t="s">
        <v>93</v>
      </c>
      <c r="C32" s="19" t="s">
        <v>53</v>
      </c>
      <c r="D32" s="20" t="s">
        <v>54</v>
      </c>
      <c r="E32" s="28" t="s">
        <v>169</v>
      </c>
      <c r="F32" s="22">
        <v>50</v>
      </c>
      <c r="G32" s="22"/>
      <c r="H32" s="22">
        <f>ROUND(6.2/100*F32,1)</f>
        <v>3.1</v>
      </c>
      <c r="I32" s="26" t="s">
        <v>170</v>
      </c>
      <c r="J32" s="27" t="s">
        <v>171</v>
      </c>
      <c r="K32" s="13" t="s">
        <v>173</v>
      </c>
      <c r="L32" s="4"/>
    </row>
    <row r="33" spans="1:12" ht="21.75" customHeight="1">
      <c r="A33" s="18">
        <v>29</v>
      </c>
      <c r="B33" s="19" t="s">
        <v>96</v>
      </c>
      <c r="C33" s="19" t="s">
        <v>53</v>
      </c>
      <c r="D33" s="20" t="s">
        <v>54</v>
      </c>
      <c r="E33" s="29">
        <v>19.420000000000002</v>
      </c>
      <c r="F33" s="22">
        <v>9.3000000000000007</v>
      </c>
      <c r="G33" s="22">
        <f>ROUND((1-E33/100)*F33,1)</f>
        <v>7.5</v>
      </c>
      <c r="H33" s="22">
        <f>ROUND(22.8/100*F33,1)</f>
        <v>2.1</v>
      </c>
      <c r="I33" s="13" t="s">
        <v>174</v>
      </c>
      <c r="J33" s="27" t="s">
        <v>171</v>
      </c>
      <c r="K33" s="13"/>
      <c r="L33" s="4"/>
    </row>
    <row r="34" spans="1:12" ht="21.75" customHeight="1">
      <c r="A34" s="18">
        <v>30</v>
      </c>
      <c r="B34" s="19" t="s">
        <v>97</v>
      </c>
      <c r="C34" s="19" t="s">
        <v>53</v>
      </c>
      <c r="D34" s="20" t="s">
        <v>54</v>
      </c>
      <c r="E34" s="29">
        <v>18.68</v>
      </c>
      <c r="F34" s="22">
        <v>49.3</v>
      </c>
      <c r="G34" s="22">
        <f>ROUND((1-E34/100)*F34,1)</f>
        <v>40.1</v>
      </c>
      <c r="H34" s="22">
        <f>ROUND(15.8/100*F34,1)</f>
        <v>7.8</v>
      </c>
      <c r="I34" s="13" t="s">
        <v>174</v>
      </c>
      <c r="J34" s="27" t="s">
        <v>171</v>
      </c>
      <c r="K34" s="13"/>
      <c r="L34" s="4"/>
    </row>
    <row r="35" spans="1:12" ht="21.75" customHeight="1">
      <c r="A35" s="18">
        <v>31</v>
      </c>
      <c r="B35" s="19" t="s">
        <v>99</v>
      </c>
      <c r="C35" s="19" t="s">
        <v>53</v>
      </c>
      <c r="D35" s="20" t="s">
        <v>54</v>
      </c>
      <c r="E35" s="29">
        <v>11.34</v>
      </c>
      <c r="F35" s="22">
        <v>68.599999999999994</v>
      </c>
      <c r="G35" s="22">
        <f>ROUND((1-E35/100)*F35,1)</f>
        <v>60.8</v>
      </c>
      <c r="H35" s="22">
        <f>ROUND(23/100*F35,1)</f>
        <v>15.8</v>
      </c>
      <c r="I35" s="13" t="s">
        <v>174</v>
      </c>
      <c r="J35" s="27" t="s">
        <v>171</v>
      </c>
      <c r="K35" s="13"/>
      <c r="L35" s="4"/>
    </row>
    <row r="36" spans="1:12" ht="21.75" customHeight="1">
      <c r="A36" s="18">
        <v>32</v>
      </c>
      <c r="B36" s="19" t="s">
        <v>101</v>
      </c>
      <c r="C36" s="19" t="s">
        <v>53</v>
      </c>
      <c r="D36" s="20" t="s">
        <v>54</v>
      </c>
      <c r="E36" s="28" t="s">
        <v>169</v>
      </c>
      <c r="F36" s="22">
        <v>21.3</v>
      </c>
      <c r="G36" s="22"/>
      <c r="H36" s="22">
        <f>ROUND(25.3/100*F36,1)</f>
        <v>5.4</v>
      </c>
      <c r="I36" s="26" t="s">
        <v>170</v>
      </c>
      <c r="J36" s="27" t="s">
        <v>171</v>
      </c>
      <c r="K36" s="13" t="s">
        <v>172</v>
      </c>
      <c r="L36" s="4"/>
    </row>
    <row r="37" spans="1:12" ht="21.75" customHeight="1">
      <c r="A37" s="18">
        <v>33</v>
      </c>
      <c r="B37" s="19" t="s">
        <v>102</v>
      </c>
      <c r="C37" s="19" t="s">
        <v>103</v>
      </c>
      <c r="D37" s="20" t="s">
        <v>54</v>
      </c>
      <c r="E37" s="29">
        <v>30.03</v>
      </c>
      <c r="F37" s="22">
        <v>42.6</v>
      </c>
      <c r="G37" s="22">
        <f>ROUND((1-E37/100)*F37,1)</f>
        <v>29.8</v>
      </c>
      <c r="H37" s="22">
        <f>ROUND(16.7/100*F37,1)</f>
        <v>7.1</v>
      </c>
      <c r="I37" s="13" t="s">
        <v>174</v>
      </c>
      <c r="J37" s="27" t="s">
        <v>171</v>
      </c>
      <c r="K37" s="13" t="s">
        <v>62</v>
      </c>
      <c r="L37" s="4"/>
    </row>
    <row r="38" spans="1:12" ht="21.75" customHeight="1">
      <c r="A38" s="18">
        <v>34</v>
      </c>
      <c r="B38" s="19" t="s">
        <v>105</v>
      </c>
      <c r="C38" s="19" t="s">
        <v>103</v>
      </c>
      <c r="D38" s="20" t="s">
        <v>54</v>
      </c>
      <c r="E38" s="29">
        <v>59.11</v>
      </c>
      <c r="F38" s="22">
        <v>174.7</v>
      </c>
      <c r="G38" s="22">
        <f>ROUND((1-E38/100)*F38,1)</f>
        <v>71.400000000000006</v>
      </c>
      <c r="H38" s="22">
        <f>ROUND(0.7/100*F38,1)</f>
        <v>1.2</v>
      </c>
      <c r="I38" s="13" t="s">
        <v>174</v>
      </c>
      <c r="J38" s="27" t="s">
        <v>171</v>
      </c>
      <c r="K38" s="13"/>
      <c r="L38" s="4"/>
    </row>
    <row r="39" spans="1:12" ht="21.75" customHeight="1">
      <c r="A39" s="18">
        <v>35</v>
      </c>
      <c r="B39" s="19" t="s">
        <v>107</v>
      </c>
      <c r="C39" s="19" t="s">
        <v>103</v>
      </c>
      <c r="D39" s="20" t="s">
        <v>54</v>
      </c>
      <c r="E39" s="29">
        <v>29.13</v>
      </c>
      <c r="F39" s="22">
        <v>17.399999999999999</v>
      </c>
      <c r="G39" s="22">
        <f>ROUND((1-E39/100)*F39,1)</f>
        <v>12.3</v>
      </c>
      <c r="H39" s="22">
        <f>ROUND(10.5/100*F39,1)</f>
        <v>1.8</v>
      </c>
      <c r="I39" s="13" t="s">
        <v>174</v>
      </c>
      <c r="J39" s="27" t="s">
        <v>171</v>
      </c>
      <c r="K39" s="13"/>
      <c r="L39" s="4"/>
    </row>
    <row r="40" spans="1:12" ht="21.75" customHeight="1">
      <c r="A40" s="18">
        <v>36</v>
      </c>
      <c r="B40" s="19" t="s">
        <v>108</v>
      </c>
      <c r="C40" s="19" t="s">
        <v>103</v>
      </c>
      <c r="D40" s="20" t="s">
        <v>54</v>
      </c>
      <c r="E40" s="29">
        <v>17.87</v>
      </c>
      <c r="F40" s="22">
        <v>7.7</v>
      </c>
      <c r="G40" s="22">
        <f>ROUND((1-E40/100)*F40,1)</f>
        <v>6.3</v>
      </c>
      <c r="H40" s="22">
        <f>ROUND(11/100*F40,1)</f>
        <v>0.8</v>
      </c>
      <c r="I40" s="13" t="s">
        <v>174</v>
      </c>
      <c r="J40" s="27" t="s">
        <v>171</v>
      </c>
      <c r="K40" s="13"/>
      <c r="L40" s="4"/>
    </row>
    <row r="41" spans="1:12" ht="21.75" customHeight="1">
      <c r="A41" s="18">
        <v>37</v>
      </c>
      <c r="B41" s="19" t="s">
        <v>109</v>
      </c>
      <c r="C41" s="19" t="s">
        <v>103</v>
      </c>
      <c r="D41" s="20" t="s">
        <v>54</v>
      </c>
      <c r="E41" s="29">
        <v>57.4</v>
      </c>
      <c r="F41" s="22">
        <v>54.5</v>
      </c>
      <c r="G41" s="22">
        <f>ROUND((1-E41/100)*F41,1)</f>
        <v>23.2</v>
      </c>
      <c r="H41" s="22">
        <f>ROUND(16.9/100*F41,1)</f>
        <v>9.1999999999999993</v>
      </c>
      <c r="I41" s="13" t="s">
        <v>174</v>
      </c>
      <c r="J41" s="27" t="s">
        <v>171</v>
      </c>
      <c r="K41" s="13" t="s">
        <v>62</v>
      </c>
      <c r="L41" s="4"/>
    </row>
    <row r="42" spans="1:12" ht="21.75" customHeight="1">
      <c r="A42" s="18">
        <v>38</v>
      </c>
      <c r="B42" s="19" t="s">
        <v>110</v>
      </c>
      <c r="C42" s="19" t="s">
        <v>103</v>
      </c>
      <c r="D42" s="20" t="s">
        <v>54</v>
      </c>
      <c r="E42" s="29">
        <v>16.12</v>
      </c>
      <c r="F42" s="22">
        <v>30.9</v>
      </c>
      <c r="G42" s="22">
        <f>ROUND((1-E42/100)*F42,1)</f>
        <v>25.9</v>
      </c>
      <c r="H42" s="22">
        <f>ROUND(4.6/100*F42,1)</f>
        <v>1.4</v>
      </c>
      <c r="I42" s="13" t="s">
        <v>174</v>
      </c>
      <c r="J42" s="27" t="s">
        <v>171</v>
      </c>
      <c r="K42" s="13"/>
      <c r="L42" s="4"/>
    </row>
    <row r="43" spans="1:12" ht="21.75" customHeight="1">
      <c r="A43" s="18">
        <v>39</v>
      </c>
      <c r="B43" s="19" t="s">
        <v>112</v>
      </c>
      <c r="C43" s="19" t="s">
        <v>103</v>
      </c>
      <c r="D43" s="20" t="s">
        <v>54</v>
      </c>
      <c r="E43" s="28" t="s">
        <v>169</v>
      </c>
      <c r="F43" s="22">
        <v>1.4</v>
      </c>
      <c r="G43" s="22"/>
      <c r="H43" s="22">
        <f>ROUND(11.1/100*F43,1)</f>
        <v>0.2</v>
      </c>
      <c r="I43" s="26" t="s">
        <v>170</v>
      </c>
      <c r="J43" s="27" t="s">
        <v>171</v>
      </c>
      <c r="K43" s="13" t="s">
        <v>172</v>
      </c>
      <c r="L43" s="4"/>
    </row>
    <row r="44" spans="1:12" ht="21.75" customHeight="1">
      <c r="A44" s="18">
        <v>40</v>
      </c>
      <c r="B44" s="19" t="s">
        <v>114</v>
      </c>
      <c r="C44" s="19" t="s">
        <v>103</v>
      </c>
      <c r="D44" s="20" t="s">
        <v>54</v>
      </c>
      <c r="E44" s="28" t="s">
        <v>169</v>
      </c>
      <c r="F44" s="22">
        <v>40.6</v>
      </c>
      <c r="G44" s="22"/>
      <c r="H44" s="22">
        <f>ROUND(8.8/100*F44,1)</f>
        <v>3.6</v>
      </c>
      <c r="I44" s="26" t="s">
        <v>170</v>
      </c>
      <c r="J44" s="27" t="s">
        <v>171</v>
      </c>
      <c r="K44" s="13" t="s">
        <v>173</v>
      </c>
      <c r="L44" s="4"/>
    </row>
    <row r="45" spans="1:12" ht="21.75" customHeight="1">
      <c r="A45" s="18">
        <v>41</v>
      </c>
      <c r="B45" s="19" t="s">
        <v>116</v>
      </c>
      <c r="C45" s="19" t="s">
        <v>117</v>
      </c>
      <c r="D45" s="20" t="s">
        <v>54</v>
      </c>
      <c r="E45" s="28" t="s">
        <v>169</v>
      </c>
      <c r="F45" s="22">
        <v>11.7</v>
      </c>
      <c r="G45" s="22"/>
      <c r="H45" s="22">
        <f>ROUND(22.9/100*F45,1)</f>
        <v>2.7</v>
      </c>
      <c r="I45" s="26" t="s">
        <v>170</v>
      </c>
      <c r="J45" s="27" t="s">
        <v>171</v>
      </c>
      <c r="K45" s="13" t="s">
        <v>173</v>
      </c>
      <c r="L45" s="4"/>
    </row>
    <row r="46" spans="1:12" ht="21.75" customHeight="1">
      <c r="A46" s="18">
        <v>42</v>
      </c>
      <c r="B46" s="19" t="s">
        <v>119</v>
      </c>
      <c r="C46" s="19" t="s">
        <v>120</v>
      </c>
      <c r="D46" s="20" t="s">
        <v>54</v>
      </c>
      <c r="E46" s="29">
        <v>14.41</v>
      </c>
      <c r="F46" s="22">
        <v>0.13</v>
      </c>
      <c r="G46" s="22">
        <f>ROUND((1-E46/100)*F46,1)</f>
        <v>0.1</v>
      </c>
      <c r="H46" s="22">
        <f>ROUND(20/100*F46,1)</f>
        <v>0</v>
      </c>
      <c r="I46" s="13" t="s">
        <v>174</v>
      </c>
      <c r="J46" s="27" t="s">
        <v>171</v>
      </c>
      <c r="K46" s="13"/>
      <c r="L46" s="4"/>
    </row>
    <row r="47" spans="1:12" ht="21.75" customHeight="1">
      <c r="A47" s="18">
        <v>43</v>
      </c>
      <c r="B47" s="19" t="s">
        <v>123</v>
      </c>
      <c r="C47" s="19" t="s">
        <v>120</v>
      </c>
      <c r="D47" s="20" t="s">
        <v>54</v>
      </c>
      <c r="E47" s="28" t="s">
        <v>169</v>
      </c>
      <c r="F47" s="22">
        <v>0.82</v>
      </c>
      <c r="G47" s="22"/>
      <c r="H47" s="22">
        <f>ROUND(26.9/100*F47,1)</f>
        <v>0.2</v>
      </c>
      <c r="I47" s="26" t="s">
        <v>170</v>
      </c>
      <c r="J47" s="27" t="s">
        <v>171</v>
      </c>
      <c r="K47" s="13" t="s">
        <v>172</v>
      </c>
      <c r="L47" s="4"/>
    </row>
    <row r="48" spans="1:12" ht="21.75" customHeight="1">
      <c r="A48" s="18">
        <v>44</v>
      </c>
      <c r="B48" s="19" t="s">
        <v>124</v>
      </c>
      <c r="C48" s="19" t="s">
        <v>120</v>
      </c>
      <c r="D48" s="20" t="s">
        <v>54</v>
      </c>
      <c r="E48" s="29">
        <v>8.7100000000000009</v>
      </c>
      <c r="F48" s="22">
        <v>1.0999999999999999E-2</v>
      </c>
      <c r="G48" s="22">
        <f>ROUND((1-E48/100)*F48,1)</f>
        <v>0</v>
      </c>
      <c r="H48" s="22">
        <f>ROUND(0.3/100*F48,1)</f>
        <v>0</v>
      </c>
      <c r="I48" s="13" t="s">
        <v>174</v>
      </c>
      <c r="J48" s="27" t="s">
        <v>171</v>
      </c>
      <c r="K48" s="13"/>
      <c r="L48" s="4"/>
    </row>
    <row r="49" spans="1:12" ht="21.75" customHeight="1">
      <c r="A49" s="18">
        <v>45</v>
      </c>
      <c r="B49" s="19" t="s">
        <v>125</v>
      </c>
      <c r="C49" s="19" t="s">
        <v>53</v>
      </c>
      <c r="D49" s="25" t="s">
        <v>126</v>
      </c>
      <c r="E49" s="29">
        <v>28.98</v>
      </c>
      <c r="F49" s="22">
        <v>227.9</v>
      </c>
      <c r="G49" s="22">
        <f>ROUND((1-E49/100)*F49,1)</f>
        <v>161.9</v>
      </c>
      <c r="H49" s="22">
        <f>ROUND(16.1/100*F49,1)</f>
        <v>36.700000000000003</v>
      </c>
      <c r="I49" s="13" t="s">
        <v>174</v>
      </c>
      <c r="J49" s="27" t="s">
        <v>171</v>
      </c>
      <c r="K49" s="13"/>
      <c r="L49" s="4"/>
    </row>
    <row r="50" spans="1:12" ht="21.75" customHeight="1">
      <c r="A50" s="18">
        <v>46</v>
      </c>
      <c r="B50" s="19" t="s">
        <v>128</v>
      </c>
      <c r="C50" s="19" t="s">
        <v>103</v>
      </c>
      <c r="D50" s="25" t="s">
        <v>126</v>
      </c>
      <c r="E50" s="28" t="s">
        <v>169</v>
      </c>
      <c r="F50" s="22">
        <v>1438</v>
      </c>
      <c r="G50" s="22"/>
      <c r="H50" s="22">
        <f>ROUND(2.5/100*F50,1)</f>
        <v>36</v>
      </c>
      <c r="I50" s="26" t="s">
        <v>170</v>
      </c>
      <c r="J50" s="27" t="s">
        <v>171</v>
      </c>
      <c r="K50" s="13" t="s">
        <v>175</v>
      </c>
      <c r="L50" s="4"/>
    </row>
    <row r="51" spans="1:12" ht="21.75" customHeight="1">
      <c r="A51" s="18">
        <v>47</v>
      </c>
      <c r="B51" s="19" t="s">
        <v>131</v>
      </c>
      <c r="C51" s="19" t="s">
        <v>103</v>
      </c>
      <c r="D51" s="25" t="s">
        <v>126</v>
      </c>
      <c r="E51" s="28" t="s">
        <v>169</v>
      </c>
      <c r="F51" s="22">
        <v>1410</v>
      </c>
      <c r="G51" s="22"/>
      <c r="H51" s="22">
        <f>ROUND(1.9/100*F51,1)</f>
        <v>26.8</v>
      </c>
      <c r="I51" s="26" t="s">
        <v>170</v>
      </c>
      <c r="J51" s="27" t="s">
        <v>171</v>
      </c>
      <c r="K51" s="13" t="s">
        <v>176</v>
      </c>
      <c r="L51" s="4"/>
    </row>
    <row r="52" spans="1:12" ht="21.75" customHeight="1">
      <c r="A52" s="18">
        <v>48</v>
      </c>
      <c r="B52" s="19" t="s">
        <v>133</v>
      </c>
      <c r="C52" s="19" t="s">
        <v>103</v>
      </c>
      <c r="D52" s="25" t="s">
        <v>126</v>
      </c>
      <c r="E52" s="29">
        <v>30.27</v>
      </c>
      <c r="F52" s="22">
        <v>281</v>
      </c>
      <c r="G52" s="22">
        <f>ROUND((1-E52/100)*F52,1)</f>
        <v>195.9</v>
      </c>
      <c r="H52" s="22">
        <f>ROUND(5/100*F52,1)</f>
        <v>14.1</v>
      </c>
      <c r="I52" s="13" t="s">
        <v>174</v>
      </c>
      <c r="J52" s="27" t="s">
        <v>171</v>
      </c>
      <c r="K52" s="13"/>
      <c r="L52" s="4"/>
    </row>
    <row r="53" spans="1:12" ht="21.75" customHeight="1">
      <c r="A53" s="18">
        <v>49</v>
      </c>
      <c r="B53" s="19" t="s">
        <v>135</v>
      </c>
      <c r="C53" s="19" t="s">
        <v>103</v>
      </c>
      <c r="D53" s="25" t="s">
        <v>126</v>
      </c>
      <c r="E53" s="29">
        <v>50.6</v>
      </c>
      <c r="F53" s="22">
        <v>245</v>
      </c>
      <c r="G53" s="22">
        <f>ROUND((1-E53/100)*F53,1)</f>
        <v>121</v>
      </c>
      <c r="H53" s="22">
        <f>ROUND(4.9/100*F53,1)</f>
        <v>12</v>
      </c>
      <c r="I53" s="13" t="s">
        <v>174</v>
      </c>
      <c r="J53" s="27" t="s">
        <v>171</v>
      </c>
      <c r="K53" s="13"/>
      <c r="L53" s="4"/>
    </row>
    <row r="54" spans="1:12" ht="21.75" customHeight="1">
      <c r="A54" s="18">
        <v>50</v>
      </c>
      <c r="B54" s="19" t="s">
        <v>136</v>
      </c>
      <c r="C54" s="19" t="s">
        <v>53</v>
      </c>
      <c r="D54" s="25" t="s">
        <v>126</v>
      </c>
      <c r="E54" s="28" t="s">
        <v>169</v>
      </c>
      <c r="F54" s="22">
        <v>56.4</v>
      </c>
      <c r="G54" s="22"/>
      <c r="H54" s="22">
        <f>ROUND(28.5/100*F54,1)</f>
        <v>16.100000000000001</v>
      </c>
      <c r="I54" s="26" t="s">
        <v>170</v>
      </c>
      <c r="J54" s="27" t="s">
        <v>171</v>
      </c>
      <c r="K54" s="13" t="s">
        <v>177</v>
      </c>
      <c r="L54" s="4"/>
    </row>
    <row r="55" spans="1:12" ht="21.75" customHeight="1">
      <c r="A55" s="18">
        <v>51</v>
      </c>
      <c r="B55" s="19" t="s">
        <v>138</v>
      </c>
      <c r="C55" s="19" t="s">
        <v>103</v>
      </c>
      <c r="D55" s="25" t="s">
        <v>126</v>
      </c>
      <c r="E55" s="29">
        <v>47.9</v>
      </c>
      <c r="F55" s="22">
        <v>118</v>
      </c>
      <c r="G55" s="22">
        <f>ROUND((1-E55/100)*F55,1)</f>
        <v>61.5</v>
      </c>
      <c r="H55" s="22">
        <f>ROUND(2.3/100*F55,1)</f>
        <v>2.7</v>
      </c>
      <c r="I55" s="13" t="s">
        <v>174</v>
      </c>
      <c r="J55" s="27" t="s">
        <v>171</v>
      </c>
      <c r="K55" s="13"/>
      <c r="L55" s="4"/>
    </row>
    <row r="56" spans="1:12" ht="21.75" customHeight="1">
      <c r="A56" s="18">
        <v>52</v>
      </c>
      <c r="B56" s="19" t="s">
        <v>142</v>
      </c>
      <c r="C56" s="19" t="s">
        <v>53</v>
      </c>
      <c r="D56" s="25" t="s">
        <v>126</v>
      </c>
      <c r="E56" s="29">
        <v>44.47</v>
      </c>
      <c r="F56" s="22">
        <v>34.4</v>
      </c>
      <c r="G56" s="22">
        <f>ROUND((1-E56/100)*F56,1)</f>
        <v>19.100000000000001</v>
      </c>
      <c r="H56" s="22">
        <f>ROUND(5.7/100*F56,1)</f>
        <v>2</v>
      </c>
      <c r="I56" s="13" t="s">
        <v>174</v>
      </c>
      <c r="J56" s="27" t="s">
        <v>171</v>
      </c>
      <c r="K56" s="13"/>
      <c r="L56" s="4"/>
    </row>
    <row r="57" spans="1:12" ht="21.75" customHeight="1">
      <c r="A57" s="18">
        <v>53</v>
      </c>
      <c r="B57" s="19" t="s">
        <v>144</v>
      </c>
      <c r="C57" s="19" t="s">
        <v>53</v>
      </c>
      <c r="D57" s="25" t="s">
        <v>126</v>
      </c>
      <c r="E57" s="29">
        <v>43.89</v>
      </c>
      <c r="F57" s="22">
        <v>31.9</v>
      </c>
      <c r="G57" s="22">
        <f>ROUND((1-E57/100)*F57,1)</f>
        <v>17.899999999999999</v>
      </c>
      <c r="H57" s="22">
        <f>ROUND(18.9/100*F57,1)</f>
        <v>6</v>
      </c>
      <c r="I57" s="13" t="s">
        <v>174</v>
      </c>
      <c r="J57" s="27" t="s">
        <v>171</v>
      </c>
      <c r="K57" s="13"/>
      <c r="L57" s="4"/>
    </row>
    <row r="58" spans="1:12" ht="21.75" customHeight="1">
      <c r="A58" s="18">
        <v>54</v>
      </c>
      <c r="B58" s="19" t="s">
        <v>145</v>
      </c>
      <c r="C58" s="19" t="s">
        <v>120</v>
      </c>
      <c r="D58" s="25" t="s">
        <v>126</v>
      </c>
      <c r="E58" s="28" t="s">
        <v>169</v>
      </c>
      <c r="F58" s="22">
        <v>10.3</v>
      </c>
      <c r="G58" s="22"/>
      <c r="H58" s="22">
        <f>ROUND(47.4/100*F58,1)</f>
        <v>4.9000000000000004</v>
      </c>
      <c r="I58" s="26" t="s">
        <v>170</v>
      </c>
      <c r="J58" s="27" t="s">
        <v>171</v>
      </c>
      <c r="K58" s="13" t="s">
        <v>178</v>
      </c>
      <c r="L58" s="4"/>
    </row>
  </sheetData>
  <autoFilter ref="A4:K4" xr:uid="{00000000-0009-0000-0000-000003000000}"/>
  <mergeCells count="1">
    <mergeCell ref="A2:L2"/>
  </mergeCells>
  <pageMargins left="0.75" right="0.75" top="1" bottom="1" header="0.511811023622047" footer="0.51180555555555596"/>
  <pageSetup paperSize="9" fitToHeight="0" orientation="landscape" horizontalDpi="300" verticalDpi="300"/>
  <headerFooter>
    <oddFooter>&amp;LGold Standard · Basic-Services Index v2.0&amp;R&amp;P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9BD"/>
    <pageSetUpPr fitToPage="1"/>
  </sheetPr>
  <dimension ref="A1:L58"/>
  <sheetViews>
    <sheetView showGridLines="0" zoomScaleNormal="100" workbookViewId="0">
      <pane xSplit="2" ySplit="4" topLeftCell="C5" activePane="bottomRight" state="frozen"/>
      <selection pane="bottomRight"/>
      <selection pane="bottomLeft" activeCell="A5" sqref="A5"/>
      <selection pane="topRight" activeCell="C1" sqref="C1"/>
    </sheetView>
  </sheetViews>
  <sheetFormatPr defaultColWidth="8.7109375" defaultRowHeight="14.25"/>
  <cols>
    <col min="1" max="1" width="4" customWidth="1"/>
    <col min="2" max="2" width="20" customWidth="1"/>
    <col min="3" max="3" width="10" customWidth="1"/>
    <col min="4" max="4" width="6" customWidth="1"/>
    <col min="5" max="5" width="11" customWidth="1"/>
    <col min="6" max="6" width="9" customWidth="1"/>
    <col min="7" max="7" width="13" customWidth="1"/>
    <col min="8" max="8" width="10" customWidth="1"/>
    <col min="9" max="9" width="31.42578125" customWidth="1"/>
    <col min="10" max="10" width="24.85546875" customWidth="1"/>
    <col min="11" max="11" width="34" customWidth="1"/>
    <col min="12" max="12" width="30" customWidth="1"/>
  </cols>
  <sheetData>
    <row r="1" spans="1:12" ht="15.75" customHeight="1">
      <c r="A1" s="16" t="s">
        <v>179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45.75" customHeight="1">
      <c r="A2" s="3" t="s">
        <v>180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4.2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30" customHeight="1">
      <c r="A4" s="17" t="s">
        <v>41</v>
      </c>
      <c r="B4" s="17" t="s">
        <v>42</v>
      </c>
      <c r="C4" s="17" t="s">
        <v>43</v>
      </c>
      <c r="D4" s="17" t="s">
        <v>44</v>
      </c>
      <c r="E4" s="17" t="s">
        <v>181</v>
      </c>
      <c r="F4" s="17" t="s">
        <v>46</v>
      </c>
      <c r="G4" s="17" t="s">
        <v>165</v>
      </c>
      <c r="H4" s="17" t="s">
        <v>182</v>
      </c>
      <c r="I4" s="17" t="s">
        <v>167</v>
      </c>
      <c r="J4" s="17" t="s">
        <v>183</v>
      </c>
      <c r="K4" s="17" t="s">
        <v>51</v>
      </c>
      <c r="L4" s="4"/>
    </row>
    <row r="5" spans="1:12" ht="21.75" customHeight="1">
      <c r="A5" s="18">
        <v>1</v>
      </c>
      <c r="B5" s="19" t="s">
        <v>52</v>
      </c>
      <c r="C5" s="19" t="s">
        <v>53</v>
      </c>
      <c r="D5" s="20" t="s">
        <v>54</v>
      </c>
      <c r="E5" s="28" t="s">
        <v>169</v>
      </c>
      <c r="F5" s="22">
        <v>37.9</v>
      </c>
      <c r="G5" s="22"/>
      <c r="H5" s="26" t="s">
        <v>184</v>
      </c>
      <c r="I5" s="26" t="s">
        <v>170</v>
      </c>
      <c r="J5" s="27" t="s">
        <v>185</v>
      </c>
      <c r="K5" s="13" t="s">
        <v>186</v>
      </c>
      <c r="L5" s="4"/>
    </row>
    <row r="6" spans="1:12" ht="21.75" customHeight="1">
      <c r="A6" s="18">
        <v>2</v>
      </c>
      <c r="B6" s="19" t="s">
        <v>58</v>
      </c>
      <c r="C6" s="19" t="s">
        <v>53</v>
      </c>
      <c r="D6" s="20" t="s">
        <v>54</v>
      </c>
      <c r="E6" s="29">
        <v>16.399999999999999</v>
      </c>
      <c r="F6" s="22">
        <v>14.5</v>
      </c>
      <c r="G6" s="22">
        <f>ROUND((1-E6/100)*F6,1)</f>
        <v>12.1</v>
      </c>
      <c r="H6" s="26" t="s">
        <v>184</v>
      </c>
      <c r="I6" s="13" t="s">
        <v>174</v>
      </c>
      <c r="J6" s="27" t="s">
        <v>185</v>
      </c>
      <c r="K6" s="13"/>
      <c r="L6" s="4"/>
    </row>
    <row r="7" spans="1:12" ht="21.75" customHeight="1">
      <c r="A7" s="18">
        <v>3</v>
      </c>
      <c r="B7" s="19" t="s">
        <v>61</v>
      </c>
      <c r="C7" s="19" t="s">
        <v>53</v>
      </c>
      <c r="D7" s="20" t="s">
        <v>54</v>
      </c>
      <c r="E7" s="29">
        <v>24.7</v>
      </c>
      <c r="F7" s="22">
        <v>23.5</v>
      </c>
      <c r="G7" s="22">
        <f>ROUND((1-E7/100)*F7,1)</f>
        <v>17.7</v>
      </c>
      <c r="H7" s="26" t="s">
        <v>184</v>
      </c>
      <c r="I7" s="13" t="s">
        <v>174</v>
      </c>
      <c r="J7" s="27" t="s">
        <v>185</v>
      </c>
      <c r="K7" s="13" t="s">
        <v>62</v>
      </c>
      <c r="L7" s="4"/>
    </row>
    <row r="8" spans="1:12" ht="21.75" customHeight="1">
      <c r="A8" s="18">
        <v>4</v>
      </c>
      <c r="B8" s="19" t="s">
        <v>63</v>
      </c>
      <c r="C8" s="19" t="s">
        <v>53</v>
      </c>
      <c r="D8" s="20" t="s">
        <v>54</v>
      </c>
      <c r="E8" s="28" t="s">
        <v>169</v>
      </c>
      <c r="F8" s="22">
        <v>13.2</v>
      </c>
      <c r="G8" s="22"/>
      <c r="H8" s="13"/>
      <c r="I8" s="26" t="s">
        <v>170</v>
      </c>
      <c r="J8" s="27" t="s">
        <v>185</v>
      </c>
      <c r="K8" s="13" t="s">
        <v>186</v>
      </c>
      <c r="L8" s="4"/>
    </row>
    <row r="9" spans="1:12" ht="21.75" customHeight="1">
      <c r="A9" s="18">
        <v>5</v>
      </c>
      <c r="B9" s="19" t="s">
        <v>64</v>
      </c>
      <c r="C9" s="19" t="s">
        <v>53</v>
      </c>
      <c r="D9" s="20" t="s">
        <v>54</v>
      </c>
      <c r="E9" s="29">
        <v>13.5</v>
      </c>
      <c r="F9" s="22">
        <v>5.6</v>
      </c>
      <c r="G9" s="22">
        <f>ROUND((1-E9/100)*F9,1)</f>
        <v>4.8</v>
      </c>
      <c r="H9" s="13"/>
      <c r="I9" s="13" t="s">
        <v>174</v>
      </c>
      <c r="J9" s="27" t="s">
        <v>185</v>
      </c>
      <c r="K9" s="13" t="s">
        <v>62</v>
      </c>
      <c r="L9" s="4"/>
    </row>
    <row r="10" spans="1:12" ht="21.75" customHeight="1">
      <c r="A10" s="18">
        <v>6</v>
      </c>
      <c r="B10" s="19" t="s">
        <v>66</v>
      </c>
      <c r="C10" s="19" t="s">
        <v>53</v>
      </c>
      <c r="D10" s="20" t="s">
        <v>54</v>
      </c>
      <c r="E10" s="29">
        <v>11.1</v>
      </c>
      <c r="F10" s="22">
        <v>19.3</v>
      </c>
      <c r="G10" s="22">
        <f>ROUND((1-E10/100)*F10,1)</f>
        <v>17.2</v>
      </c>
      <c r="H10" s="26" t="s">
        <v>184</v>
      </c>
      <c r="I10" s="13" t="s">
        <v>174</v>
      </c>
      <c r="J10" s="27" t="s">
        <v>185</v>
      </c>
      <c r="K10" s="13" t="s">
        <v>62</v>
      </c>
      <c r="L10" s="4"/>
    </row>
    <row r="11" spans="1:12" ht="21.75" customHeight="1">
      <c r="A11" s="18">
        <v>7</v>
      </c>
      <c r="B11" s="19" t="s">
        <v>67</v>
      </c>
      <c r="C11" s="19" t="s">
        <v>53</v>
      </c>
      <c r="D11" s="20" t="s">
        <v>54</v>
      </c>
      <c r="E11" s="29">
        <v>49.4</v>
      </c>
      <c r="F11" s="22">
        <v>0.85</v>
      </c>
      <c r="G11" s="22">
        <f>ROUND((1-E11/100)*F11,1)</f>
        <v>0.4</v>
      </c>
      <c r="H11" s="13"/>
      <c r="I11" s="13" t="s">
        <v>174</v>
      </c>
      <c r="J11" s="27" t="s">
        <v>185</v>
      </c>
      <c r="K11" s="13"/>
      <c r="L11" s="4"/>
    </row>
    <row r="12" spans="1:12" ht="21.75" customHeight="1">
      <c r="A12" s="18">
        <v>8</v>
      </c>
      <c r="B12" s="19" t="s">
        <v>68</v>
      </c>
      <c r="C12" s="19" t="s">
        <v>53</v>
      </c>
      <c r="D12" s="20" t="s">
        <v>54</v>
      </c>
      <c r="E12" s="29">
        <v>13.1</v>
      </c>
      <c r="F12" s="22">
        <v>105.8</v>
      </c>
      <c r="G12" s="22">
        <f>ROUND((1-E12/100)*F12,1)</f>
        <v>91.9</v>
      </c>
      <c r="H12" s="26" t="s">
        <v>184</v>
      </c>
      <c r="I12" s="13" t="s">
        <v>174</v>
      </c>
      <c r="J12" s="27" t="s">
        <v>185</v>
      </c>
      <c r="K12" s="13" t="s">
        <v>62</v>
      </c>
      <c r="L12" s="4"/>
    </row>
    <row r="13" spans="1:12" ht="21.75" customHeight="1">
      <c r="A13" s="18">
        <v>9</v>
      </c>
      <c r="B13" s="19" t="s">
        <v>69</v>
      </c>
      <c r="C13" s="19" t="s">
        <v>53</v>
      </c>
      <c r="D13" s="20" t="s">
        <v>54</v>
      </c>
      <c r="E13" s="29">
        <v>39.700000000000003</v>
      </c>
      <c r="F13" s="22">
        <v>1.1399999999999999</v>
      </c>
      <c r="G13" s="22">
        <f>ROUND((1-E13/100)*F13,1)</f>
        <v>0.7</v>
      </c>
      <c r="H13" s="13"/>
      <c r="I13" s="13" t="s">
        <v>174</v>
      </c>
      <c r="J13" s="27" t="s">
        <v>185</v>
      </c>
      <c r="K13" s="13"/>
      <c r="L13" s="4"/>
    </row>
    <row r="14" spans="1:12" ht="21.75" customHeight="1">
      <c r="A14" s="18">
        <v>10</v>
      </c>
      <c r="B14" s="19" t="s">
        <v>71</v>
      </c>
      <c r="C14" s="19" t="s">
        <v>53</v>
      </c>
      <c r="D14" s="20" t="s">
        <v>54</v>
      </c>
      <c r="E14" s="28" t="s">
        <v>169</v>
      </c>
      <c r="F14" s="22">
        <v>3.7</v>
      </c>
      <c r="G14" s="22"/>
      <c r="H14" s="26" t="s">
        <v>184</v>
      </c>
      <c r="I14" s="26" t="s">
        <v>170</v>
      </c>
      <c r="J14" s="27" t="s">
        <v>185</v>
      </c>
      <c r="K14" s="13" t="s">
        <v>186</v>
      </c>
      <c r="L14" s="4"/>
    </row>
    <row r="15" spans="1:12" ht="21.75" customHeight="1">
      <c r="A15" s="18">
        <v>11</v>
      </c>
      <c r="B15" s="19" t="s">
        <v>73</v>
      </c>
      <c r="C15" s="19" t="s">
        <v>53</v>
      </c>
      <c r="D15" s="20" t="s">
        <v>54</v>
      </c>
      <c r="E15" s="29">
        <v>8.1</v>
      </c>
      <c r="F15" s="22">
        <v>129.69999999999999</v>
      </c>
      <c r="G15" s="22">
        <f>ROUND((1-E15/100)*F15,1)</f>
        <v>119.2</v>
      </c>
      <c r="H15" s="26" t="s">
        <v>184</v>
      </c>
      <c r="I15" s="13" t="s">
        <v>174</v>
      </c>
      <c r="J15" s="27" t="s">
        <v>185</v>
      </c>
      <c r="K15" s="13" t="s">
        <v>187</v>
      </c>
      <c r="L15" s="4"/>
    </row>
    <row r="16" spans="1:12" ht="21.75" customHeight="1">
      <c r="A16" s="18">
        <v>12</v>
      </c>
      <c r="B16" s="19" t="s">
        <v>75</v>
      </c>
      <c r="C16" s="19" t="s">
        <v>53</v>
      </c>
      <c r="D16" s="20" t="s">
        <v>54</v>
      </c>
      <c r="E16" s="29">
        <v>28.1</v>
      </c>
      <c r="F16" s="22">
        <v>2.8</v>
      </c>
      <c r="G16" s="22">
        <f>ROUND((1-E16/100)*F16,1)</f>
        <v>2</v>
      </c>
      <c r="H16" s="13"/>
      <c r="I16" s="13" t="s">
        <v>174</v>
      </c>
      <c r="J16" s="27" t="s">
        <v>185</v>
      </c>
      <c r="K16" s="13"/>
      <c r="L16" s="4"/>
    </row>
    <row r="17" spans="1:12" ht="21.75" customHeight="1">
      <c r="A17" s="18">
        <v>13</v>
      </c>
      <c r="B17" s="19" t="s">
        <v>76</v>
      </c>
      <c r="C17" s="19" t="s">
        <v>53</v>
      </c>
      <c r="D17" s="20" t="s">
        <v>54</v>
      </c>
      <c r="E17" s="28" t="s">
        <v>169</v>
      </c>
      <c r="F17" s="22">
        <v>14.5</v>
      </c>
      <c r="G17" s="22"/>
      <c r="H17" s="13"/>
      <c r="I17" s="26" t="s">
        <v>170</v>
      </c>
      <c r="J17" s="27" t="s">
        <v>185</v>
      </c>
      <c r="K17" s="13" t="s">
        <v>186</v>
      </c>
      <c r="L17" s="4"/>
    </row>
    <row r="18" spans="1:12" ht="21.75" customHeight="1">
      <c r="A18" s="18">
        <v>14</v>
      </c>
      <c r="B18" s="19" t="s">
        <v>77</v>
      </c>
      <c r="C18" s="19" t="s">
        <v>53</v>
      </c>
      <c r="D18" s="20" t="s">
        <v>54</v>
      </c>
      <c r="E18" s="29">
        <v>22.6</v>
      </c>
      <c r="F18" s="22">
        <v>2.2000000000000002</v>
      </c>
      <c r="G18" s="22">
        <f>ROUND((1-E18/100)*F18,1)</f>
        <v>1.7</v>
      </c>
      <c r="H18" s="13"/>
      <c r="I18" s="13" t="s">
        <v>174</v>
      </c>
      <c r="J18" s="27" t="s">
        <v>185</v>
      </c>
      <c r="K18" s="13"/>
      <c r="L18" s="4"/>
    </row>
    <row r="19" spans="1:12" ht="21.75" customHeight="1">
      <c r="A19" s="18">
        <v>15</v>
      </c>
      <c r="B19" s="19" t="s">
        <v>79</v>
      </c>
      <c r="C19" s="19" t="s">
        <v>53</v>
      </c>
      <c r="D19" s="20" t="s">
        <v>54</v>
      </c>
      <c r="E19" s="29">
        <v>43.8</v>
      </c>
      <c r="F19" s="22">
        <v>2.2999999999999998</v>
      </c>
      <c r="G19" s="22">
        <f>ROUND((1-E19/100)*F19,1)</f>
        <v>1.3</v>
      </c>
      <c r="H19" s="13"/>
      <c r="I19" s="13" t="s">
        <v>174</v>
      </c>
      <c r="J19" s="27" t="s">
        <v>185</v>
      </c>
      <c r="K19" s="13"/>
      <c r="L19" s="4"/>
    </row>
    <row r="20" spans="1:12" ht="21.75" customHeight="1">
      <c r="A20" s="18">
        <v>16</v>
      </c>
      <c r="B20" s="19" t="s">
        <v>80</v>
      </c>
      <c r="C20" s="19" t="s">
        <v>53</v>
      </c>
      <c r="D20" s="20" t="s">
        <v>54</v>
      </c>
      <c r="E20" s="28" t="s">
        <v>169</v>
      </c>
      <c r="F20" s="22">
        <v>5.6</v>
      </c>
      <c r="G20" s="22"/>
      <c r="H20" s="26" t="s">
        <v>184</v>
      </c>
      <c r="I20" s="26" t="s">
        <v>170</v>
      </c>
      <c r="J20" s="27" t="s">
        <v>185</v>
      </c>
      <c r="K20" s="13" t="s">
        <v>186</v>
      </c>
      <c r="L20" s="4"/>
    </row>
    <row r="21" spans="1:12" ht="21.75" customHeight="1">
      <c r="A21" s="18">
        <v>17</v>
      </c>
      <c r="B21" s="19" t="s">
        <v>81</v>
      </c>
      <c r="C21" s="19" t="s">
        <v>53</v>
      </c>
      <c r="D21" s="20" t="s">
        <v>54</v>
      </c>
      <c r="E21" s="29">
        <v>12.8</v>
      </c>
      <c r="F21" s="22">
        <v>31</v>
      </c>
      <c r="G21" s="22">
        <f>ROUND((1-E21/100)*F21,1)</f>
        <v>27</v>
      </c>
      <c r="H21" s="26" t="s">
        <v>184</v>
      </c>
      <c r="I21" s="13" t="s">
        <v>174</v>
      </c>
      <c r="J21" s="27" t="s">
        <v>185</v>
      </c>
      <c r="K21" s="13"/>
      <c r="L21" s="4"/>
    </row>
    <row r="22" spans="1:12" ht="21.75" customHeight="1">
      <c r="A22" s="18">
        <v>18</v>
      </c>
      <c r="B22" s="19" t="s">
        <v>82</v>
      </c>
      <c r="C22" s="19" t="s">
        <v>53</v>
      </c>
      <c r="D22" s="20" t="s">
        <v>54</v>
      </c>
      <c r="E22" s="29">
        <v>46.1</v>
      </c>
      <c r="F22" s="22">
        <v>21.2</v>
      </c>
      <c r="G22" s="22">
        <f>ROUND((1-E22/100)*F22,1)</f>
        <v>11.4</v>
      </c>
      <c r="H22" s="13"/>
      <c r="I22" s="13" t="s">
        <v>174</v>
      </c>
      <c r="J22" s="27" t="s">
        <v>185</v>
      </c>
      <c r="K22" s="13"/>
      <c r="L22" s="4"/>
    </row>
    <row r="23" spans="1:12" ht="21.75" customHeight="1">
      <c r="A23" s="18">
        <v>19</v>
      </c>
      <c r="B23" s="19" t="s">
        <v>83</v>
      </c>
      <c r="C23" s="19" t="s">
        <v>53</v>
      </c>
      <c r="D23" s="20" t="s">
        <v>54</v>
      </c>
      <c r="E23" s="29">
        <v>20</v>
      </c>
      <c r="F23" s="22">
        <v>23.8</v>
      </c>
      <c r="G23" s="22">
        <f>ROUND((1-E23/100)*F23,1)</f>
        <v>19</v>
      </c>
      <c r="H23" s="13"/>
      <c r="I23" s="13" t="s">
        <v>174</v>
      </c>
      <c r="J23" s="27" t="s">
        <v>185</v>
      </c>
      <c r="K23" s="13" t="s">
        <v>62</v>
      </c>
      <c r="L23" s="4"/>
    </row>
    <row r="24" spans="1:12" ht="21.75" customHeight="1">
      <c r="A24" s="18">
        <v>20</v>
      </c>
      <c r="B24" s="19" t="s">
        <v>84</v>
      </c>
      <c r="C24" s="19" t="s">
        <v>53</v>
      </c>
      <c r="D24" s="20" t="s">
        <v>54</v>
      </c>
      <c r="E24" s="28" t="s">
        <v>169</v>
      </c>
      <c r="F24" s="22">
        <v>4.9000000000000004</v>
      </c>
      <c r="G24" s="22"/>
      <c r="H24" s="26" t="s">
        <v>184</v>
      </c>
      <c r="I24" s="26" t="s">
        <v>170</v>
      </c>
      <c r="J24" s="27" t="s">
        <v>185</v>
      </c>
      <c r="K24" s="13" t="s">
        <v>186</v>
      </c>
      <c r="L24" s="4"/>
    </row>
    <row r="25" spans="1:12" ht="21.75" customHeight="1">
      <c r="A25" s="18">
        <v>21</v>
      </c>
      <c r="B25" s="19" t="s">
        <v>85</v>
      </c>
      <c r="C25" s="19" t="s">
        <v>53</v>
      </c>
      <c r="D25" s="20" t="s">
        <v>54</v>
      </c>
      <c r="E25" s="29">
        <v>33.9</v>
      </c>
      <c r="F25" s="22">
        <v>34.6</v>
      </c>
      <c r="G25" s="22">
        <f>ROUND((1-E25/100)*F25,1)</f>
        <v>22.9</v>
      </c>
      <c r="H25" s="26" t="s">
        <v>184</v>
      </c>
      <c r="I25" s="13" t="s">
        <v>174</v>
      </c>
      <c r="J25" s="27" t="s">
        <v>185</v>
      </c>
      <c r="K25" s="13"/>
      <c r="L25" s="4"/>
    </row>
    <row r="26" spans="1:12" ht="21.75" customHeight="1">
      <c r="A26" s="18">
        <v>22</v>
      </c>
      <c r="B26" s="19" t="s">
        <v>86</v>
      </c>
      <c r="C26" s="19" t="s">
        <v>53</v>
      </c>
      <c r="D26" s="20" t="s">
        <v>54</v>
      </c>
      <c r="E26" s="29">
        <v>9.1999999999999993</v>
      </c>
      <c r="F26" s="22">
        <v>27.2</v>
      </c>
      <c r="G26" s="22">
        <f>ROUND((1-E26/100)*F26,1)</f>
        <v>24.7</v>
      </c>
      <c r="H26" s="26" t="s">
        <v>184</v>
      </c>
      <c r="I26" s="13" t="s">
        <v>174</v>
      </c>
      <c r="J26" s="27" t="s">
        <v>185</v>
      </c>
      <c r="K26" s="13" t="s">
        <v>188</v>
      </c>
      <c r="L26" s="4"/>
    </row>
    <row r="27" spans="1:12" ht="21.75" customHeight="1">
      <c r="A27" s="18">
        <v>23</v>
      </c>
      <c r="B27" s="19" t="s">
        <v>87</v>
      </c>
      <c r="C27" s="19" t="s">
        <v>53</v>
      </c>
      <c r="D27" s="20" t="s">
        <v>54</v>
      </c>
      <c r="E27" s="28" t="s">
        <v>169</v>
      </c>
      <c r="F27" s="22">
        <v>14.3</v>
      </c>
      <c r="G27" s="22"/>
      <c r="H27" s="13"/>
      <c r="I27" s="26" t="s">
        <v>170</v>
      </c>
      <c r="J27" s="27" t="s">
        <v>185</v>
      </c>
      <c r="K27" s="13" t="s">
        <v>186</v>
      </c>
      <c r="L27" s="4"/>
    </row>
    <row r="28" spans="1:12" ht="21.75" customHeight="1">
      <c r="A28" s="18">
        <v>24</v>
      </c>
      <c r="B28" s="19" t="s">
        <v>88</v>
      </c>
      <c r="C28" s="19" t="s">
        <v>53</v>
      </c>
      <c r="D28" s="20" t="s">
        <v>54</v>
      </c>
      <c r="E28" s="29">
        <v>30.1</v>
      </c>
      <c r="F28" s="22">
        <v>18.399999999999999</v>
      </c>
      <c r="G28" s="22">
        <f>ROUND((1-E28/100)*F28,1)</f>
        <v>12.9</v>
      </c>
      <c r="H28" s="13"/>
      <c r="I28" s="13" t="s">
        <v>174</v>
      </c>
      <c r="J28" s="27" t="s">
        <v>185</v>
      </c>
      <c r="K28" s="13"/>
      <c r="L28" s="4"/>
    </row>
    <row r="29" spans="1:12" ht="21.75" customHeight="1">
      <c r="A29" s="18">
        <v>25</v>
      </c>
      <c r="B29" s="19" t="s">
        <v>89</v>
      </c>
      <c r="C29" s="19" t="s">
        <v>53</v>
      </c>
      <c r="D29" s="20" t="s">
        <v>54</v>
      </c>
      <c r="E29" s="29">
        <v>16.899999999999999</v>
      </c>
      <c r="F29" s="22">
        <v>8.9</v>
      </c>
      <c r="G29" s="22">
        <f>ROUND((1-E29/100)*F29,1)</f>
        <v>7.4</v>
      </c>
      <c r="H29" s="13"/>
      <c r="I29" s="13" t="s">
        <v>174</v>
      </c>
      <c r="J29" s="27" t="s">
        <v>185</v>
      </c>
      <c r="K29" s="13"/>
      <c r="L29" s="4"/>
    </row>
    <row r="30" spans="1:12" ht="21.75" customHeight="1">
      <c r="A30" s="18">
        <v>26</v>
      </c>
      <c r="B30" s="19" t="s">
        <v>90</v>
      </c>
      <c r="C30" s="19" t="s">
        <v>53</v>
      </c>
      <c r="D30" s="20" t="s">
        <v>54</v>
      </c>
      <c r="E30" s="29">
        <v>16.399999999999999</v>
      </c>
      <c r="F30" s="22">
        <v>18.899999999999999</v>
      </c>
      <c r="G30" s="22">
        <f>ROUND((1-E30/100)*F30,1)</f>
        <v>15.8</v>
      </c>
      <c r="H30" s="13"/>
      <c r="I30" s="13" t="s">
        <v>174</v>
      </c>
      <c r="J30" s="27" t="s">
        <v>185</v>
      </c>
      <c r="K30" s="13" t="s">
        <v>62</v>
      </c>
      <c r="L30" s="4"/>
    </row>
    <row r="31" spans="1:12" ht="21.75" customHeight="1">
      <c r="A31" s="18">
        <v>27</v>
      </c>
      <c r="B31" s="19" t="s">
        <v>91</v>
      </c>
      <c r="C31" s="19" t="s">
        <v>53</v>
      </c>
      <c r="D31" s="20" t="s">
        <v>54</v>
      </c>
      <c r="E31" s="28" t="s">
        <v>169</v>
      </c>
      <c r="F31" s="22">
        <v>11.6</v>
      </c>
      <c r="G31" s="22"/>
      <c r="H31" s="26" t="s">
        <v>184</v>
      </c>
      <c r="I31" s="26" t="s">
        <v>170</v>
      </c>
      <c r="J31" s="27" t="s">
        <v>185</v>
      </c>
      <c r="K31" s="13" t="s">
        <v>189</v>
      </c>
      <c r="L31" s="4"/>
    </row>
    <row r="32" spans="1:12" ht="21.75" customHeight="1">
      <c r="A32" s="18">
        <v>28</v>
      </c>
      <c r="B32" s="19" t="s">
        <v>93</v>
      </c>
      <c r="C32" s="19" t="s">
        <v>53</v>
      </c>
      <c r="D32" s="20" t="s">
        <v>54</v>
      </c>
      <c r="E32" s="28" t="s">
        <v>169</v>
      </c>
      <c r="F32" s="22">
        <v>50</v>
      </c>
      <c r="G32" s="22"/>
      <c r="H32" s="26" t="s">
        <v>184</v>
      </c>
      <c r="I32" s="26" t="s">
        <v>170</v>
      </c>
      <c r="J32" s="27" t="s">
        <v>185</v>
      </c>
      <c r="K32" s="13" t="s">
        <v>189</v>
      </c>
      <c r="L32" s="4"/>
    </row>
    <row r="33" spans="1:12" ht="21.75" customHeight="1">
      <c r="A33" s="18">
        <v>29</v>
      </c>
      <c r="B33" s="19" t="s">
        <v>96</v>
      </c>
      <c r="C33" s="19" t="s">
        <v>53</v>
      </c>
      <c r="D33" s="20" t="s">
        <v>54</v>
      </c>
      <c r="E33" s="29">
        <v>13</v>
      </c>
      <c r="F33" s="22">
        <v>9.3000000000000007</v>
      </c>
      <c r="G33" s="22">
        <f>ROUND((1-E33/100)*F33,1)</f>
        <v>8.1</v>
      </c>
      <c r="H33" s="26" t="s">
        <v>184</v>
      </c>
      <c r="I33" s="13" t="s">
        <v>174</v>
      </c>
      <c r="J33" s="27" t="s">
        <v>185</v>
      </c>
      <c r="K33" s="13"/>
      <c r="L33" s="4"/>
    </row>
    <row r="34" spans="1:12" ht="21.75" customHeight="1">
      <c r="A34" s="18">
        <v>30</v>
      </c>
      <c r="B34" s="19" t="s">
        <v>97</v>
      </c>
      <c r="C34" s="19" t="s">
        <v>53</v>
      </c>
      <c r="D34" s="20" t="s">
        <v>54</v>
      </c>
      <c r="E34" s="29">
        <v>20.399999999999999</v>
      </c>
      <c r="F34" s="22">
        <v>49.3</v>
      </c>
      <c r="G34" s="22">
        <f>ROUND((1-E34/100)*F34,1)</f>
        <v>39.200000000000003</v>
      </c>
      <c r="H34" s="13"/>
      <c r="I34" s="13" t="s">
        <v>174</v>
      </c>
      <c r="J34" s="27" t="s">
        <v>185</v>
      </c>
      <c r="K34" s="13"/>
      <c r="L34" s="4"/>
    </row>
    <row r="35" spans="1:12" ht="21.75" customHeight="1">
      <c r="A35" s="18">
        <v>31</v>
      </c>
      <c r="B35" s="19" t="s">
        <v>99</v>
      </c>
      <c r="C35" s="19" t="s">
        <v>53</v>
      </c>
      <c r="D35" s="20" t="s">
        <v>54</v>
      </c>
      <c r="E35" s="29">
        <v>28.5</v>
      </c>
      <c r="F35" s="22">
        <v>68.599999999999994</v>
      </c>
      <c r="G35" s="22">
        <f>ROUND((1-E35/100)*F35,1)</f>
        <v>49</v>
      </c>
      <c r="H35" s="26" t="s">
        <v>184</v>
      </c>
      <c r="I35" s="13" t="s">
        <v>174</v>
      </c>
      <c r="J35" s="27" t="s">
        <v>185</v>
      </c>
      <c r="K35" s="13"/>
      <c r="L35" s="4"/>
    </row>
    <row r="36" spans="1:12" ht="21.75" customHeight="1">
      <c r="A36" s="18">
        <v>32</v>
      </c>
      <c r="B36" s="19" t="s">
        <v>101</v>
      </c>
      <c r="C36" s="19" t="s">
        <v>53</v>
      </c>
      <c r="D36" s="20" t="s">
        <v>54</v>
      </c>
      <c r="E36" s="28" t="s">
        <v>169</v>
      </c>
      <c r="F36" s="22">
        <v>21.3</v>
      </c>
      <c r="G36" s="22"/>
      <c r="H36" s="13"/>
      <c r="I36" s="26" t="s">
        <v>170</v>
      </c>
      <c r="J36" s="27" t="s">
        <v>185</v>
      </c>
      <c r="K36" s="13" t="s">
        <v>186</v>
      </c>
      <c r="L36" s="4"/>
    </row>
    <row r="37" spans="1:12" ht="21.75" customHeight="1">
      <c r="A37" s="18">
        <v>33</v>
      </c>
      <c r="B37" s="19" t="s">
        <v>102</v>
      </c>
      <c r="C37" s="19" t="s">
        <v>103</v>
      </c>
      <c r="D37" s="20" t="s">
        <v>54</v>
      </c>
      <c r="E37" s="29">
        <v>24.8</v>
      </c>
      <c r="F37" s="22">
        <v>42.6</v>
      </c>
      <c r="G37" s="22">
        <f>ROUND((1-E37/100)*F37,1)</f>
        <v>32</v>
      </c>
      <c r="H37" s="13"/>
      <c r="I37" s="13" t="s">
        <v>174</v>
      </c>
      <c r="J37" s="27" t="s">
        <v>185</v>
      </c>
      <c r="K37" s="13" t="s">
        <v>62</v>
      </c>
      <c r="L37" s="4"/>
    </row>
    <row r="38" spans="1:12" ht="21.75" customHeight="1">
      <c r="A38" s="18">
        <v>34</v>
      </c>
      <c r="B38" s="19" t="s">
        <v>105</v>
      </c>
      <c r="C38" s="19" t="s">
        <v>103</v>
      </c>
      <c r="D38" s="20" t="s">
        <v>54</v>
      </c>
      <c r="E38" s="29">
        <v>37.299999999999997</v>
      </c>
      <c r="F38" s="22">
        <v>174.7</v>
      </c>
      <c r="G38" s="22">
        <f>ROUND((1-E38/100)*F38,1)</f>
        <v>109.5</v>
      </c>
      <c r="H38" s="13"/>
      <c r="I38" s="13" t="s">
        <v>174</v>
      </c>
      <c r="J38" s="27" t="s">
        <v>185</v>
      </c>
      <c r="K38" s="13"/>
      <c r="L38" s="4"/>
    </row>
    <row r="39" spans="1:12" ht="21.75" customHeight="1">
      <c r="A39" s="18">
        <v>35</v>
      </c>
      <c r="B39" s="19" t="s">
        <v>107</v>
      </c>
      <c r="C39" s="19" t="s">
        <v>103</v>
      </c>
      <c r="D39" s="20" t="s">
        <v>54</v>
      </c>
      <c r="E39" s="29">
        <v>51.6</v>
      </c>
      <c r="F39" s="22">
        <v>17.399999999999999</v>
      </c>
      <c r="G39" s="22">
        <f>ROUND((1-E39/100)*F39,1)</f>
        <v>8.4</v>
      </c>
      <c r="H39" s="13"/>
      <c r="I39" s="13" t="s">
        <v>174</v>
      </c>
      <c r="J39" s="27" t="s">
        <v>185</v>
      </c>
      <c r="K39" s="13"/>
      <c r="L39" s="4"/>
    </row>
    <row r="40" spans="1:12" ht="21.75" customHeight="1">
      <c r="A40" s="18">
        <v>36</v>
      </c>
      <c r="B40" s="19" t="s">
        <v>108</v>
      </c>
      <c r="C40" s="19" t="s">
        <v>103</v>
      </c>
      <c r="D40" s="20" t="s">
        <v>54</v>
      </c>
      <c r="E40" s="29">
        <v>71.400000000000006</v>
      </c>
      <c r="F40" s="22">
        <v>7.7</v>
      </c>
      <c r="G40" s="22">
        <f>ROUND((1-E40/100)*F40,1)</f>
        <v>2.2000000000000002</v>
      </c>
      <c r="H40" s="13"/>
      <c r="I40" s="13" t="s">
        <v>174</v>
      </c>
      <c r="J40" s="27" t="s">
        <v>185</v>
      </c>
      <c r="K40" s="13"/>
      <c r="L40" s="4"/>
    </row>
    <row r="41" spans="1:12" ht="21.75" customHeight="1">
      <c r="A41" s="18">
        <v>37</v>
      </c>
      <c r="B41" s="19" t="s">
        <v>109</v>
      </c>
      <c r="C41" s="19" t="s">
        <v>103</v>
      </c>
      <c r="D41" s="20" t="s">
        <v>54</v>
      </c>
      <c r="E41" s="29">
        <v>60.5</v>
      </c>
      <c r="F41" s="22">
        <v>54.5</v>
      </c>
      <c r="G41" s="22">
        <f>ROUND((1-E41/100)*F41,1)</f>
        <v>21.5</v>
      </c>
      <c r="H41" s="13"/>
      <c r="I41" s="13" t="s">
        <v>174</v>
      </c>
      <c r="J41" s="27" t="s">
        <v>185</v>
      </c>
      <c r="K41" s="13" t="s">
        <v>62</v>
      </c>
      <c r="L41" s="4"/>
    </row>
    <row r="42" spans="1:12" ht="21.75" customHeight="1">
      <c r="A42" s="18">
        <v>38</v>
      </c>
      <c r="B42" s="19" t="s">
        <v>110</v>
      </c>
      <c r="C42" s="19" t="s">
        <v>103</v>
      </c>
      <c r="D42" s="20" t="s">
        <v>54</v>
      </c>
      <c r="E42" s="29">
        <v>53.4</v>
      </c>
      <c r="F42" s="22">
        <v>30.9</v>
      </c>
      <c r="G42" s="22">
        <f>ROUND((1-E42/100)*F42,1)</f>
        <v>14.4</v>
      </c>
      <c r="H42" s="26" t="s">
        <v>184</v>
      </c>
      <c r="I42" s="13" t="s">
        <v>174</v>
      </c>
      <c r="J42" s="27" t="s">
        <v>185</v>
      </c>
      <c r="K42" s="13"/>
      <c r="L42" s="4"/>
    </row>
    <row r="43" spans="1:12" ht="21.75" customHeight="1">
      <c r="A43" s="18">
        <v>39</v>
      </c>
      <c r="B43" s="19" t="s">
        <v>112</v>
      </c>
      <c r="C43" s="19" t="s">
        <v>103</v>
      </c>
      <c r="D43" s="20" t="s">
        <v>54</v>
      </c>
      <c r="E43" s="28" t="s">
        <v>169</v>
      </c>
      <c r="F43" s="22">
        <v>1.4</v>
      </c>
      <c r="G43" s="22"/>
      <c r="H43" s="13"/>
      <c r="I43" s="26" t="s">
        <v>170</v>
      </c>
      <c r="J43" s="27" t="s">
        <v>185</v>
      </c>
      <c r="K43" s="13" t="s">
        <v>186</v>
      </c>
      <c r="L43" s="4"/>
    </row>
    <row r="44" spans="1:12" ht="21.75" customHeight="1">
      <c r="A44" s="18">
        <v>40</v>
      </c>
      <c r="B44" s="19" t="s">
        <v>114</v>
      </c>
      <c r="C44" s="19" t="s">
        <v>103</v>
      </c>
      <c r="D44" s="20" t="s">
        <v>54</v>
      </c>
      <c r="E44" s="28" t="s">
        <v>169</v>
      </c>
      <c r="F44" s="22">
        <v>40.6</v>
      </c>
      <c r="G44" s="22"/>
      <c r="H44" s="26" t="s">
        <v>184</v>
      </c>
      <c r="I44" s="26" t="s">
        <v>170</v>
      </c>
      <c r="J44" s="27" t="s">
        <v>185</v>
      </c>
      <c r="K44" s="13" t="s">
        <v>189</v>
      </c>
      <c r="L44" s="4"/>
    </row>
    <row r="45" spans="1:12" ht="21.75" customHeight="1">
      <c r="A45" s="18">
        <v>41</v>
      </c>
      <c r="B45" s="19" t="s">
        <v>116</v>
      </c>
      <c r="C45" s="19" t="s">
        <v>117</v>
      </c>
      <c r="D45" s="20" t="s">
        <v>54</v>
      </c>
      <c r="E45" s="28" t="s">
        <v>169</v>
      </c>
      <c r="F45" s="22">
        <v>11.7</v>
      </c>
      <c r="G45" s="22"/>
      <c r="H45" s="13"/>
      <c r="I45" s="26" t="s">
        <v>170</v>
      </c>
      <c r="J45" s="27" t="s">
        <v>185</v>
      </c>
      <c r="K45" s="13" t="s">
        <v>189</v>
      </c>
      <c r="L45" s="4"/>
    </row>
    <row r="46" spans="1:12" ht="21.75" customHeight="1">
      <c r="A46" s="18">
        <v>42</v>
      </c>
      <c r="B46" s="19" t="s">
        <v>119</v>
      </c>
      <c r="C46" s="19" t="s">
        <v>120</v>
      </c>
      <c r="D46" s="20" t="s">
        <v>54</v>
      </c>
      <c r="E46" s="29">
        <v>24.6</v>
      </c>
      <c r="F46" s="22">
        <v>0.13</v>
      </c>
      <c r="G46" s="22">
        <f>ROUND((1-E46/100)*F46,1)</f>
        <v>0.1</v>
      </c>
      <c r="H46" s="13"/>
      <c r="I46" s="13" t="s">
        <v>174</v>
      </c>
      <c r="J46" s="27" t="s">
        <v>185</v>
      </c>
      <c r="K46" s="13"/>
      <c r="L46" s="4"/>
    </row>
    <row r="47" spans="1:12" ht="21.75" customHeight="1">
      <c r="A47" s="18">
        <v>43</v>
      </c>
      <c r="B47" s="19" t="s">
        <v>123</v>
      </c>
      <c r="C47" s="19" t="s">
        <v>120</v>
      </c>
      <c r="D47" s="20" t="s">
        <v>54</v>
      </c>
      <c r="E47" s="28" t="s">
        <v>169</v>
      </c>
      <c r="F47" s="22">
        <v>0.82</v>
      </c>
      <c r="G47" s="22"/>
      <c r="H47" s="13"/>
      <c r="I47" s="26" t="s">
        <v>170</v>
      </c>
      <c r="J47" s="27" t="s">
        <v>185</v>
      </c>
      <c r="K47" s="13" t="s">
        <v>186</v>
      </c>
      <c r="L47" s="4"/>
    </row>
    <row r="48" spans="1:12" ht="21.75" customHeight="1">
      <c r="A48" s="18">
        <v>44</v>
      </c>
      <c r="B48" s="19" t="s">
        <v>124</v>
      </c>
      <c r="C48" s="19" t="s">
        <v>120</v>
      </c>
      <c r="D48" s="20" t="s">
        <v>54</v>
      </c>
      <c r="E48" s="29">
        <v>39.700000000000003</v>
      </c>
      <c r="F48" s="22">
        <v>1.0999999999999999E-2</v>
      </c>
      <c r="G48" s="22">
        <f>ROUND((1-E48/100)*F48,1)</f>
        <v>0</v>
      </c>
      <c r="H48" s="13"/>
      <c r="I48" s="13" t="s">
        <v>174</v>
      </c>
      <c r="J48" s="27" t="s">
        <v>185</v>
      </c>
      <c r="K48" s="13"/>
      <c r="L48" s="4"/>
    </row>
    <row r="49" spans="1:12" ht="21.75" customHeight="1">
      <c r="A49" s="18">
        <v>45</v>
      </c>
      <c r="B49" s="19" t="s">
        <v>125</v>
      </c>
      <c r="C49" s="19" t="s">
        <v>53</v>
      </c>
      <c r="D49" s="25" t="s">
        <v>126</v>
      </c>
      <c r="E49" s="29">
        <v>32.200000000000003</v>
      </c>
      <c r="F49" s="22">
        <v>227.9</v>
      </c>
      <c r="G49" s="22">
        <f>ROUND((1-E49/100)*F49,1)</f>
        <v>154.5</v>
      </c>
      <c r="H49" s="26" t="s">
        <v>184</v>
      </c>
      <c r="I49" s="13" t="s">
        <v>174</v>
      </c>
      <c r="J49" s="27" t="s">
        <v>185</v>
      </c>
      <c r="K49" s="13"/>
      <c r="L49" s="4"/>
    </row>
    <row r="50" spans="1:12" ht="32.25" customHeight="1">
      <c r="A50" s="18">
        <v>46</v>
      </c>
      <c r="B50" s="19" t="s">
        <v>128</v>
      </c>
      <c r="C50" s="19" t="s">
        <v>103</v>
      </c>
      <c r="D50" s="25" t="s">
        <v>126</v>
      </c>
      <c r="E50" s="29">
        <v>62.8</v>
      </c>
      <c r="F50" s="22">
        <v>1438</v>
      </c>
      <c r="G50" s="22">
        <f>ROUND((1-E50/100)*F50,1)</f>
        <v>534.9</v>
      </c>
      <c r="H50" s="26" t="s">
        <v>184</v>
      </c>
      <c r="I50" s="13" t="s">
        <v>174</v>
      </c>
      <c r="J50" s="27" t="s">
        <v>185</v>
      </c>
      <c r="K50" s="13" t="s">
        <v>190</v>
      </c>
      <c r="L50" s="4"/>
    </row>
    <row r="51" spans="1:12" ht="21.75" customHeight="1">
      <c r="A51" s="18">
        <v>47</v>
      </c>
      <c r="B51" s="19" t="s">
        <v>131</v>
      </c>
      <c r="C51" s="19" t="s">
        <v>103</v>
      </c>
      <c r="D51" s="25" t="s">
        <v>126</v>
      </c>
      <c r="E51" s="29">
        <v>68.900000000000006</v>
      </c>
      <c r="F51" s="22">
        <v>1410</v>
      </c>
      <c r="G51" s="22">
        <f>ROUND((1-E51/100)*F51,1)</f>
        <v>438.5</v>
      </c>
      <c r="H51" s="13"/>
      <c r="I51" s="13" t="s">
        <v>174</v>
      </c>
      <c r="J51" s="27" t="s">
        <v>185</v>
      </c>
      <c r="K51" s="13"/>
      <c r="L51" s="4"/>
    </row>
    <row r="52" spans="1:12" ht="21.75" customHeight="1">
      <c r="A52" s="18">
        <v>48</v>
      </c>
      <c r="B52" s="19" t="s">
        <v>133</v>
      </c>
      <c r="C52" s="19" t="s">
        <v>103</v>
      </c>
      <c r="D52" s="25" t="s">
        <v>126</v>
      </c>
      <c r="E52" s="28" t="s">
        <v>169</v>
      </c>
      <c r="F52" s="22">
        <v>281</v>
      </c>
      <c r="G52" s="22"/>
      <c r="H52" s="13"/>
      <c r="I52" s="26" t="s">
        <v>170</v>
      </c>
      <c r="J52" s="27" t="s">
        <v>185</v>
      </c>
      <c r="K52" s="13" t="s">
        <v>191</v>
      </c>
      <c r="L52" s="4"/>
    </row>
    <row r="53" spans="1:12" ht="21.75" customHeight="1">
      <c r="A53" s="18">
        <v>49</v>
      </c>
      <c r="B53" s="19" t="s">
        <v>135</v>
      </c>
      <c r="C53" s="19" t="s">
        <v>103</v>
      </c>
      <c r="D53" s="25" t="s">
        <v>126</v>
      </c>
      <c r="E53" s="28" t="s">
        <v>169</v>
      </c>
      <c r="F53" s="22">
        <v>245</v>
      </c>
      <c r="G53" s="22"/>
      <c r="H53" s="26" t="s">
        <v>184</v>
      </c>
      <c r="I53" s="26" t="s">
        <v>170</v>
      </c>
      <c r="J53" s="27" t="s">
        <v>185</v>
      </c>
      <c r="K53" s="13" t="s">
        <v>191</v>
      </c>
      <c r="L53" s="4"/>
    </row>
    <row r="54" spans="1:12" ht="21.75" customHeight="1">
      <c r="A54" s="18">
        <v>50</v>
      </c>
      <c r="B54" s="19" t="s">
        <v>136</v>
      </c>
      <c r="C54" s="19" t="s">
        <v>53</v>
      </c>
      <c r="D54" s="25" t="s">
        <v>126</v>
      </c>
      <c r="E54" s="29">
        <v>35.799999999999997</v>
      </c>
      <c r="F54" s="22">
        <v>56.4</v>
      </c>
      <c r="G54" s="22">
        <f>ROUND((1-E54/100)*F54,1)</f>
        <v>36.200000000000003</v>
      </c>
      <c r="H54" s="26" t="s">
        <v>184</v>
      </c>
      <c r="I54" s="13" t="s">
        <v>174</v>
      </c>
      <c r="J54" s="27" t="s">
        <v>185</v>
      </c>
      <c r="K54" s="13"/>
      <c r="L54" s="4"/>
    </row>
    <row r="55" spans="1:12" ht="21.75" customHeight="1">
      <c r="A55" s="18">
        <v>51</v>
      </c>
      <c r="B55" s="19" t="s">
        <v>138</v>
      </c>
      <c r="C55" s="19" t="s">
        <v>103</v>
      </c>
      <c r="D55" s="25" t="s">
        <v>126</v>
      </c>
      <c r="E55" s="29">
        <v>62.2</v>
      </c>
      <c r="F55" s="22">
        <v>118</v>
      </c>
      <c r="G55" s="22">
        <f>ROUND((1-E55/100)*F55,1)</f>
        <v>44.6</v>
      </c>
      <c r="H55" s="13"/>
      <c r="I55" s="13" t="s">
        <v>174</v>
      </c>
      <c r="J55" s="27" t="s">
        <v>185</v>
      </c>
      <c r="K55" s="13"/>
      <c r="L55" s="4"/>
    </row>
    <row r="56" spans="1:12" ht="21.75" customHeight="1">
      <c r="A56" s="18">
        <v>52</v>
      </c>
      <c r="B56" s="19" t="s">
        <v>142</v>
      </c>
      <c r="C56" s="19" t="s">
        <v>53</v>
      </c>
      <c r="D56" s="25" t="s">
        <v>126</v>
      </c>
      <c r="E56" s="29">
        <v>18.8</v>
      </c>
      <c r="F56" s="22">
        <v>34.4</v>
      </c>
      <c r="G56" s="22">
        <f>ROUND((1-E56/100)*F56,1)</f>
        <v>27.9</v>
      </c>
      <c r="H56" s="26" t="s">
        <v>184</v>
      </c>
      <c r="I56" s="13" t="s">
        <v>174</v>
      </c>
      <c r="J56" s="27" t="s">
        <v>185</v>
      </c>
      <c r="K56" s="13"/>
      <c r="L56" s="4"/>
    </row>
    <row r="57" spans="1:12" ht="21.75" customHeight="1">
      <c r="A57" s="18">
        <v>53</v>
      </c>
      <c r="B57" s="19" t="s">
        <v>144</v>
      </c>
      <c r="C57" s="19" t="s">
        <v>53</v>
      </c>
      <c r="D57" s="25" t="s">
        <v>126</v>
      </c>
      <c r="E57" s="29">
        <v>27.1</v>
      </c>
      <c r="F57" s="22">
        <v>31.9</v>
      </c>
      <c r="G57" s="22">
        <f>ROUND((1-E57/100)*F57,1)</f>
        <v>23.3</v>
      </c>
      <c r="H57" s="26" t="s">
        <v>184</v>
      </c>
      <c r="I57" s="13" t="s">
        <v>174</v>
      </c>
      <c r="J57" s="27" t="s">
        <v>185</v>
      </c>
      <c r="K57" s="13"/>
      <c r="L57" s="4"/>
    </row>
    <row r="58" spans="1:12" ht="21.75" customHeight="1">
      <c r="A58" s="18">
        <v>54</v>
      </c>
      <c r="B58" s="19" t="s">
        <v>145</v>
      </c>
      <c r="C58" s="19" t="s">
        <v>120</v>
      </c>
      <c r="D58" s="25" t="s">
        <v>126</v>
      </c>
      <c r="E58" s="29">
        <v>16.7</v>
      </c>
      <c r="F58" s="22">
        <v>10.3</v>
      </c>
      <c r="G58" s="22">
        <f>ROUND((1-E58/100)*F58,1)</f>
        <v>8.6</v>
      </c>
      <c r="H58" s="13"/>
      <c r="I58" s="13" t="s">
        <v>174</v>
      </c>
      <c r="J58" s="27" t="s">
        <v>185</v>
      </c>
      <c r="K58" s="13"/>
      <c r="L58" s="4"/>
    </row>
  </sheetData>
  <autoFilter ref="A4:K4" xr:uid="{00000000-0009-0000-0000-000004000000}"/>
  <mergeCells count="1">
    <mergeCell ref="A2:L2"/>
  </mergeCells>
  <pageMargins left="0.75" right="0.75" top="1" bottom="1" header="0.511811023622047" footer="0.51180555555555596"/>
  <pageSetup paperSize="9" fitToHeight="0" orientation="landscape" horizontalDpi="300" verticalDpi="300"/>
  <headerFooter>
    <oddFooter>&amp;LGold Standard · Basic-Services Index v2.0&amp;R&amp;P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9BD"/>
    <pageSetUpPr fitToPage="1"/>
  </sheetPr>
  <dimension ref="A1:E43"/>
  <sheetViews>
    <sheetView showGridLines="0" topLeftCell="A23" zoomScale="160" zoomScaleNormal="160" workbookViewId="0"/>
  </sheetViews>
  <sheetFormatPr defaultColWidth="8.7109375" defaultRowHeight="14.25"/>
  <cols>
    <col min="1" max="1" width="30" customWidth="1"/>
    <col min="2" max="2" width="14" customWidth="1"/>
    <col min="3" max="3" width="18" customWidth="1"/>
    <col min="4" max="4" width="16" customWidth="1"/>
    <col min="5" max="5" width="30" customWidth="1"/>
  </cols>
  <sheetData>
    <row r="1" spans="1:5" ht="15.75" customHeight="1">
      <c r="A1" s="16" t="s">
        <v>192</v>
      </c>
      <c r="B1" s="4"/>
      <c r="C1" s="4"/>
      <c r="D1" s="4"/>
      <c r="E1" s="4"/>
    </row>
    <row r="2" spans="1:5" ht="43.5" customHeight="1">
      <c r="A2" s="3" t="s">
        <v>193</v>
      </c>
      <c r="B2" s="3"/>
      <c r="C2" s="3"/>
      <c r="D2" s="3"/>
      <c r="E2" s="4"/>
    </row>
    <row r="3" spans="1:5" ht="14.25" customHeight="1">
      <c r="A3" s="4"/>
      <c r="B3" s="4"/>
      <c r="C3" s="4"/>
      <c r="D3" s="4"/>
      <c r="E3" s="4"/>
    </row>
    <row r="4" spans="1:5" ht="15" customHeight="1">
      <c r="A4" s="30" t="s">
        <v>194</v>
      </c>
      <c r="B4" s="30"/>
      <c r="C4" s="30"/>
      <c r="D4" s="30"/>
      <c r="E4" s="30"/>
    </row>
    <row r="5" spans="1:5" ht="15" customHeight="1">
      <c r="A5" s="17" t="s">
        <v>195</v>
      </c>
      <c r="B5" s="17" t="s">
        <v>196</v>
      </c>
      <c r="C5" s="17" t="s">
        <v>197</v>
      </c>
      <c r="D5" s="4"/>
      <c r="E5" s="4"/>
    </row>
    <row r="6" spans="1:5" ht="15" customHeight="1">
      <c r="A6" s="31" t="s">
        <v>59</v>
      </c>
      <c r="B6" s="32">
        <f>COUNTIF(Cooking!$I$5:$I$58,"Quantified")</f>
        <v>28</v>
      </c>
      <c r="C6" s="33">
        <f>SUMIF(Cooking!$I$5:$I$58,"Quantified",Cooking!$G$5:$G$58)</f>
        <v>1408.5</v>
      </c>
      <c r="D6" s="4"/>
      <c r="E6" s="4"/>
    </row>
    <row r="7" spans="1:5" ht="15" customHeight="1">
      <c r="A7" s="34" t="s">
        <v>56</v>
      </c>
      <c r="B7" s="32">
        <f>COUNTIF(Cooking!$I$5:$I$58,"General")</f>
        <v>25</v>
      </c>
      <c r="C7" s="33">
        <f>SUMIF(Cooking!$I$5:$I$58,"General",Cooking!$G$5:$G$58)</f>
        <v>644.99999999999989</v>
      </c>
      <c r="D7" s="4"/>
      <c r="E7" s="4"/>
    </row>
    <row r="8" spans="1:5" ht="15" customHeight="1">
      <c r="A8" s="35" t="s">
        <v>139</v>
      </c>
      <c r="B8" s="32">
        <f>COUNTIF(Cooking!$I$5:$I$58,"None")</f>
        <v>1</v>
      </c>
      <c r="C8" s="33">
        <f>SUMIF(Cooking!$I$5:$I$58,"None",Cooking!$G$5:$G$58)</f>
        <v>61.4</v>
      </c>
      <c r="D8" s="4"/>
      <c r="E8" s="4"/>
    </row>
    <row r="9" spans="1:5" ht="15" customHeight="1">
      <c r="A9" s="36" t="s">
        <v>198</v>
      </c>
      <c r="B9" s="37">
        <f>SUM(B6:B8)</f>
        <v>54</v>
      </c>
      <c r="C9" s="38">
        <f>SUM(C6:C8)</f>
        <v>2114.9</v>
      </c>
      <c r="D9" s="4"/>
      <c r="E9" s="4"/>
    </row>
    <row r="10" spans="1:5" ht="15" customHeight="1">
      <c r="A10" s="39" t="s">
        <v>199</v>
      </c>
      <c r="B10" s="40"/>
      <c r="C10" s="41">
        <f>C6</f>
        <v>1408.5</v>
      </c>
      <c r="D10" s="4"/>
      <c r="E10" s="4"/>
    </row>
    <row r="11" spans="1:5" ht="14.25" customHeight="1">
      <c r="A11" s="4"/>
      <c r="B11" s="4"/>
      <c r="C11" s="4"/>
      <c r="D11" s="4"/>
      <c r="E11" s="4"/>
    </row>
    <row r="12" spans="1:5" ht="15" customHeight="1">
      <c r="A12" s="30" t="s">
        <v>200</v>
      </c>
      <c r="B12" s="30"/>
      <c r="C12" s="30"/>
      <c r="D12" s="30"/>
      <c r="E12" s="30"/>
    </row>
    <row r="13" spans="1:5" ht="15" customHeight="1">
      <c r="A13" s="17" t="s">
        <v>195</v>
      </c>
      <c r="B13" s="17" t="s">
        <v>196</v>
      </c>
      <c r="C13" s="17" t="s">
        <v>197</v>
      </c>
      <c r="D13" s="4"/>
      <c r="E13" s="4"/>
    </row>
    <row r="14" spans="1:5" ht="15" customHeight="1">
      <c r="A14" s="31" t="s">
        <v>59</v>
      </c>
      <c r="B14" s="32">
        <f>COUNTIF(Electricity!$I$5:$I$58,"Quantified")</f>
        <v>24</v>
      </c>
      <c r="C14" s="33">
        <f>SUMIF(Electricity!$I$5:$I$58,"Quantified",Electricity!$G$5:$G$58)</f>
        <v>460.19999999999993</v>
      </c>
      <c r="D14" s="4"/>
      <c r="E14" s="4"/>
    </row>
    <row r="15" spans="1:5" ht="15" customHeight="1">
      <c r="A15" s="34" t="s">
        <v>56</v>
      </c>
      <c r="B15" s="32">
        <f>COUNTIF(Electricity!$I$5:$I$58,"General")</f>
        <v>17</v>
      </c>
      <c r="C15" s="33">
        <f>SUMIF(Electricity!$I$5:$I$58,"General",Electricity!$G$5:$G$58)</f>
        <v>166.89999999999995</v>
      </c>
      <c r="D15" s="4"/>
      <c r="E15" s="4"/>
    </row>
    <row r="16" spans="1:5" ht="15" customHeight="1">
      <c r="A16" s="42" t="s">
        <v>156</v>
      </c>
      <c r="B16" s="32">
        <f>COUNTIF(Electricity!$I$5:$I$58,"N/A – access achieved")</f>
        <v>13</v>
      </c>
      <c r="C16" s="33">
        <f>SUMIF(Electricity!$I$5:$I$58,"N/A – access achieved",Electricity!$G$5:$G$58)</f>
        <v>30.7</v>
      </c>
      <c r="D16" s="4"/>
      <c r="E16" s="4"/>
    </row>
    <row r="17" spans="1:5" ht="15" customHeight="1">
      <c r="A17" s="36" t="s">
        <v>198</v>
      </c>
      <c r="B17" s="37">
        <f>SUM(B14:B16)</f>
        <v>54</v>
      </c>
      <c r="C17" s="38">
        <f>SUM(C14:C16)</f>
        <v>657.8</v>
      </c>
      <c r="D17" s="4"/>
      <c r="E17" s="4"/>
    </row>
    <row r="18" spans="1:5" ht="15" customHeight="1">
      <c r="A18" s="39" t="s">
        <v>199</v>
      </c>
      <c r="B18" s="40"/>
      <c r="C18" s="41">
        <f>C14</f>
        <v>460.19999999999993</v>
      </c>
      <c r="D18" s="4"/>
      <c r="E18" s="4"/>
    </row>
    <row r="19" spans="1:5" ht="14.25" customHeight="1">
      <c r="A19" s="4"/>
      <c r="B19" s="4"/>
      <c r="C19" s="4"/>
      <c r="D19" s="4"/>
      <c r="E19" s="4"/>
    </row>
    <row r="20" spans="1:5" ht="15" customHeight="1">
      <c r="A20" s="30" t="s">
        <v>201</v>
      </c>
      <c r="B20" s="30"/>
      <c r="C20" s="30"/>
      <c r="D20" s="30"/>
      <c r="E20" s="30"/>
    </row>
    <row r="21" spans="1:5" ht="15" customHeight="1">
      <c r="A21" s="17" t="s">
        <v>202</v>
      </c>
      <c r="B21" s="17" t="s">
        <v>196</v>
      </c>
      <c r="C21" s="17" t="s">
        <v>197</v>
      </c>
      <c r="D21" s="4"/>
      <c r="E21" s="4"/>
    </row>
    <row r="22" spans="1:5" ht="15" customHeight="1">
      <c r="A22" s="31" t="s">
        <v>203</v>
      </c>
      <c r="B22" s="32">
        <f>COUNT(Water!$G$5:$G$58)</f>
        <v>29</v>
      </c>
      <c r="C22" s="33">
        <f>SUM(Water!$G$5:$G$58)</f>
        <v>1164.5999999999999</v>
      </c>
      <c r="D22" s="4"/>
      <c r="E22" s="4"/>
    </row>
    <row r="23" spans="1:5" ht="15" customHeight="1">
      <c r="A23" s="35" t="s">
        <v>204</v>
      </c>
      <c r="B23" s="32">
        <f>COUNTIF(Water!$I$5:$I$58,"No national SM estimate (JMP)")</f>
        <v>25</v>
      </c>
      <c r="C23" s="32" t="s">
        <v>126</v>
      </c>
      <c r="D23" s="4"/>
      <c r="E23" s="4"/>
    </row>
    <row r="24" spans="1:5" ht="14.25" customHeight="1">
      <c r="A24" s="4"/>
      <c r="B24" s="4"/>
      <c r="C24" s="4"/>
      <c r="D24" s="4"/>
      <c r="E24" s="4"/>
    </row>
    <row r="25" spans="1:5" ht="15" customHeight="1">
      <c r="A25" s="30" t="s">
        <v>205</v>
      </c>
      <c r="B25" s="30"/>
      <c r="C25" s="30"/>
      <c r="D25" s="30"/>
      <c r="E25" s="30"/>
    </row>
    <row r="26" spans="1:5" ht="15" customHeight="1">
      <c r="A26" s="17" t="s">
        <v>202</v>
      </c>
      <c r="B26" s="17" t="s">
        <v>196</v>
      </c>
      <c r="C26" s="17" t="s">
        <v>197</v>
      </c>
      <c r="D26" s="4"/>
      <c r="E26" s="4"/>
    </row>
    <row r="27" spans="1:5" ht="15" customHeight="1">
      <c r="A27" s="31" t="s">
        <v>203</v>
      </c>
      <c r="B27" s="32">
        <f>COUNT(Sanitation!$G$5:$G$58)</f>
        <v>38</v>
      </c>
      <c r="C27" s="33">
        <f>SUM(Sanitation!$G$5:$G$58)</f>
        <v>1962.9999999999998</v>
      </c>
      <c r="D27" s="4"/>
      <c r="E27" s="4"/>
    </row>
    <row r="28" spans="1:5" ht="15" customHeight="1">
      <c r="A28" s="35" t="s">
        <v>204</v>
      </c>
      <c r="B28" s="32">
        <f>COUNTIF(Sanitation!$I$5:$I$58,"No national SM estimate (JMP)")</f>
        <v>16</v>
      </c>
      <c r="C28" s="32" t="s">
        <v>126</v>
      </c>
      <c r="D28" s="4"/>
      <c r="E28" s="4"/>
    </row>
    <row r="29" spans="1:5" ht="14.25" customHeight="1">
      <c r="A29" s="4"/>
      <c r="B29" s="4"/>
      <c r="C29" s="4"/>
      <c r="D29" s="4"/>
      <c r="E29" s="4"/>
    </row>
    <row r="30" spans="1:5" ht="14.25" customHeight="1">
      <c r="A30" s="4"/>
      <c r="B30" s="4"/>
      <c r="C30" s="4"/>
      <c r="D30" s="4"/>
      <c r="E30" s="4"/>
    </row>
    <row r="31" spans="1:5" ht="15" customHeight="1">
      <c r="A31" s="30" t="s">
        <v>206</v>
      </c>
      <c r="B31" s="30"/>
      <c r="C31" s="30"/>
      <c r="D31" s="30"/>
      <c r="E31" s="30"/>
    </row>
    <row r="32" spans="1:5" ht="32.25" customHeight="1">
      <c r="A32" s="17" t="s">
        <v>207</v>
      </c>
      <c r="B32" s="17" t="s">
        <v>208</v>
      </c>
      <c r="C32" s="17" t="s">
        <v>209</v>
      </c>
      <c r="D32" s="17" t="s">
        <v>210</v>
      </c>
      <c r="E32" s="17" t="s">
        <v>211</v>
      </c>
    </row>
    <row r="33" spans="1:5" ht="21.75" customHeight="1">
      <c r="A33" s="43" t="s">
        <v>212</v>
      </c>
      <c r="B33" s="44">
        <f>C9</f>
        <v>2114.9</v>
      </c>
      <c r="C33" s="44">
        <f>C6</f>
        <v>1408.5</v>
      </c>
      <c r="D33" s="45">
        <f>B6</f>
        <v>28</v>
      </c>
      <c r="E33" s="46" t="s">
        <v>213</v>
      </c>
    </row>
    <row r="34" spans="1:5" ht="15" customHeight="1">
      <c r="A34" s="43" t="s">
        <v>15</v>
      </c>
      <c r="B34" s="44">
        <f>C17</f>
        <v>657.8</v>
      </c>
      <c r="C34" s="44">
        <f>C14</f>
        <v>460.19999999999993</v>
      </c>
      <c r="D34" s="45">
        <f>B14</f>
        <v>24</v>
      </c>
      <c r="E34" s="46" t="s">
        <v>214</v>
      </c>
    </row>
    <row r="35" spans="1:5" ht="15" customHeight="1">
      <c r="A35" s="43" t="s">
        <v>215</v>
      </c>
      <c r="B35" s="44">
        <f>C22</f>
        <v>1164.5999999999999</v>
      </c>
      <c r="C35" s="44">
        <v>0</v>
      </c>
      <c r="D35" s="45" t="s">
        <v>216</v>
      </c>
      <c r="E35" s="47" t="s">
        <v>217</v>
      </c>
    </row>
    <row r="36" spans="1:5" ht="15" customHeight="1">
      <c r="A36" s="43" t="s">
        <v>19</v>
      </c>
      <c r="B36" s="44">
        <f>C27</f>
        <v>1962.9999999999998</v>
      </c>
      <c r="C36" s="44">
        <v>0</v>
      </c>
      <c r="D36" s="45" t="s">
        <v>216</v>
      </c>
      <c r="E36" s="47" t="s">
        <v>218</v>
      </c>
    </row>
    <row r="37" spans="1:5" ht="14.25" customHeight="1">
      <c r="A37" s="4"/>
      <c r="B37" s="4"/>
      <c r="C37" s="4"/>
      <c r="D37" s="4"/>
      <c r="E37" s="4"/>
    </row>
    <row r="38" spans="1:5" ht="15" customHeight="1">
      <c r="A38" s="2" t="s">
        <v>219</v>
      </c>
      <c r="B38" s="2"/>
      <c r="C38" s="2"/>
      <c r="D38" s="2"/>
      <c r="E38" s="2"/>
    </row>
    <row r="39" spans="1:5" ht="15" customHeight="1">
      <c r="A39" s="2"/>
      <c r="B39" s="2"/>
      <c r="C39" s="2"/>
      <c r="D39" s="2"/>
      <c r="E39" s="2"/>
    </row>
    <row r="40" spans="1:5" ht="15" customHeight="1">
      <c r="A40" s="2"/>
      <c r="B40" s="2"/>
      <c r="C40" s="2"/>
      <c r="D40" s="2"/>
      <c r="E40" s="2"/>
    </row>
    <row r="41" spans="1:5" ht="15" customHeight="1">
      <c r="A41" s="2"/>
      <c r="B41" s="2"/>
      <c r="C41" s="2"/>
      <c r="D41" s="2"/>
      <c r="E41" s="2"/>
    </row>
    <row r="42" spans="1:5" ht="15" customHeight="1">
      <c r="A42" s="2"/>
      <c r="B42" s="2"/>
      <c r="C42" s="2"/>
      <c r="D42" s="2"/>
      <c r="E42" s="2"/>
    </row>
    <row r="43" spans="1:5" ht="15" customHeight="1">
      <c r="A43" s="2"/>
      <c r="B43" s="2"/>
      <c r="C43" s="2"/>
      <c r="D43" s="2"/>
      <c r="E43" s="2"/>
    </row>
  </sheetData>
  <mergeCells count="2">
    <mergeCell ref="A2:D2"/>
    <mergeCell ref="A38:E43"/>
  </mergeCells>
  <pageMargins left="0.75" right="0.75" top="1" bottom="1" header="0.511811023622047" footer="0.51180555555555596"/>
  <pageSetup paperSize="9" fitToHeight="0" orientation="portrait" horizontalDpi="300" verticalDpi="300"/>
  <headerFooter>
    <oddFooter>&amp;LGold Standard · Basic-Services Index v2.0&amp;R&amp;P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9BD"/>
    <pageSetUpPr fitToPage="1"/>
  </sheetPr>
  <dimension ref="A1:D22"/>
  <sheetViews>
    <sheetView showGridLines="0" topLeftCell="A4" zoomScaleNormal="100" workbookViewId="0"/>
  </sheetViews>
  <sheetFormatPr defaultColWidth="8.7109375" defaultRowHeight="14.25"/>
  <cols>
    <col min="1" max="1" width="6" customWidth="1"/>
    <col min="2" max="2" width="22" customWidth="1"/>
    <col min="3" max="3" width="70" customWidth="1"/>
    <col min="4" max="4" width="30" customWidth="1"/>
  </cols>
  <sheetData>
    <row r="1" spans="1:4" ht="16.5" customHeight="1">
      <c r="A1" s="16" t="s">
        <v>220</v>
      </c>
      <c r="B1" s="4"/>
      <c r="C1" s="4"/>
      <c r="D1" s="4"/>
    </row>
    <row r="2" spans="1:4" ht="43.5" customHeight="1">
      <c r="A2" s="3" t="s">
        <v>221</v>
      </c>
      <c r="B2" s="3"/>
      <c r="C2" s="3"/>
      <c r="D2" s="3"/>
    </row>
    <row r="3" spans="1:4" ht="14.25" customHeight="1">
      <c r="A3" s="4"/>
      <c r="B3" s="4"/>
      <c r="C3" s="4"/>
      <c r="D3" s="4"/>
    </row>
    <row r="4" spans="1:4" ht="15" customHeight="1">
      <c r="A4" s="56" t="s">
        <v>222</v>
      </c>
      <c r="B4" s="56"/>
      <c r="C4" s="56"/>
      <c r="D4" s="56"/>
    </row>
    <row r="5" spans="1:4" ht="15" customHeight="1">
      <c r="A5" s="17" t="s">
        <v>223</v>
      </c>
      <c r="B5" s="17" t="s">
        <v>224</v>
      </c>
      <c r="C5" s="17" t="s">
        <v>225</v>
      </c>
      <c r="D5" s="17" t="s">
        <v>226</v>
      </c>
    </row>
    <row r="6" spans="1:4" ht="30" customHeight="1">
      <c r="A6" s="48" t="s">
        <v>227</v>
      </c>
      <c r="B6" s="49" t="s">
        <v>228</v>
      </c>
      <c r="C6" s="50" t="s">
        <v>229</v>
      </c>
      <c r="D6" s="50" t="s">
        <v>230</v>
      </c>
    </row>
    <row r="7" spans="1:4" ht="30" customHeight="1">
      <c r="A7" s="48" t="s">
        <v>231</v>
      </c>
      <c r="B7" s="49" t="s">
        <v>232</v>
      </c>
      <c r="C7" s="50" t="s">
        <v>233</v>
      </c>
      <c r="D7" s="50" t="s">
        <v>234</v>
      </c>
    </row>
    <row r="8" spans="1:4" ht="30" customHeight="1">
      <c r="A8" s="48" t="s">
        <v>235</v>
      </c>
      <c r="B8" s="49" t="s">
        <v>236</v>
      </c>
      <c r="C8" s="50" t="s">
        <v>237</v>
      </c>
      <c r="D8" s="50" t="s">
        <v>238</v>
      </c>
    </row>
    <row r="9" spans="1:4" ht="30" customHeight="1">
      <c r="A9" s="48" t="s">
        <v>239</v>
      </c>
      <c r="B9" s="49" t="s">
        <v>240</v>
      </c>
      <c r="C9" s="50" t="s">
        <v>241</v>
      </c>
      <c r="D9" s="50" t="s">
        <v>242</v>
      </c>
    </row>
    <row r="10" spans="1:4" ht="30" customHeight="1">
      <c r="A10" s="48" t="s">
        <v>243</v>
      </c>
      <c r="B10" s="49" t="s">
        <v>244</v>
      </c>
      <c r="C10" s="50" t="s">
        <v>245</v>
      </c>
      <c r="D10" s="50" t="s">
        <v>246</v>
      </c>
    </row>
    <row r="11" spans="1:4" ht="14.25" customHeight="1">
      <c r="A11" s="4"/>
      <c r="B11" s="4"/>
      <c r="C11" s="4"/>
      <c r="D11" s="4"/>
    </row>
    <row r="12" spans="1:4" ht="15" customHeight="1">
      <c r="A12" s="56" t="s">
        <v>247</v>
      </c>
      <c r="B12" s="56"/>
      <c r="C12" s="56"/>
      <c r="D12" s="56"/>
    </row>
    <row r="13" spans="1:4" ht="15" customHeight="1">
      <c r="A13" s="17" t="s">
        <v>223</v>
      </c>
      <c r="B13" s="17" t="s">
        <v>224</v>
      </c>
      <c r="C13" s="17" t="s">
        <v>225</v>
      </c>
      <c r="D13" s="17" t="s">
        <v>226</v>
      </c>
    </row>
    <row r="14" spans="1:4" ht="30" customHeight="1">
      <c r="A14" s="51" t="s">
        <v>227</v>
      </c>
      <c r="B14" s="49" t="s">
        <v>228</v>
      </c>
      <c r="C14" s="50" t="s">
        <v>248</v>
      </c>
      <c r="D14" s="50" t="s">
        <v>249</v>
      </c>
    </row>
    <row r="15" spans="1:4" ht="30" customHeight="1">
      <c r="A15" s="51" t="s">
        <v>231</v>
      </c>
      <c r="B15" s="49" t="s">
        <v>250</v>
      </c>
      <c r="C15" s="50" t="s">
        <v>251</v>
      </c>
      <c r="D15" s="50" t="s">
        <v>249</v>
      </c>
    </row>
    <row r="16" spans="1:4" ht="30" customHeight="1">
      <c r="A16" s="51" t="s">
        <v>235</v>
      </c>
      <c r="B16" s="49" t="s">
        <v>236</v>
      </c>
      <c r="C16" s="50" t="s">
        <v>252</v>
      </c>
      <c r="D16" s="50" t="s">
        <v>249</v>
      </c>
    </row>
    <row r="17" spans="1:4" ht="30" customHeight="1">
      <c r="A17" s="51" t="s">
        <v>239</v>
      </c>
      <c r="B17" s="49" t="s">
        <v>240</v>
      </c>
      <c r="C17" s="50" t="s">
        <v>253</v>
      </c>
      <c r="D17" s="50" t="s">
        <v>242</v>
      </c>
    </row>
    <row r="18" spans="1:4" ht="30" customHeight="1">
      <c r="A18" s="51" t="s">
        <v>243</v>
      </c>
      <c r="B18" s="49" t="s">
        <v>244</v>
      </c>
      <c r="C18" s="50" t="s">
        <v>254</v>
      </c>
      <c r="D18" s="50" t="s">
        <v>255</v>
      </c>
    </row>
    <row r="19" spans="1:4" ht="14.25" customHeight="1">
      <c r="A19" s="4"/>
      <c r="B19" s="4"/>
      <c r="C19" s="4"/>
      <c r="D19" s="4"/>
    </row>
    <row r="20" spans="1:4" ht="15" customHeight="1">
      <c r="A20" s="1" t="s">
        <v>256</v>
      </c>
      <c r="B20" s="1"/>
      <c r="C20" s="1"/>
      <c r="D20" s="1"/>
    </row>
    <row r="21" spans="1:4" ht="15" customHeight="1">
      <c r="A21" s="1"/>
      <c r="B21" s="1"/>
      <c r="C21" s="1"/>
      <c r="D21" s="1"/>
    </row>
    <row r="22" spans="1:4" ht="15" customHeight="1">
      <c r="A22" s="1"/>
      <c r="B22" s="1"/>
      <c r="C22" s="1"/>
      <c r="D22" s="1"/>
    </row>
  </sheetData>
  <mergeCells count="4">
    <mergeCell ref="A2:D2"/>
    <mergeCell ref="A4:D4"/>
    <mergeCell ref="A12:D12"/>
    <mergeCell ref="A20:D22"/>
  </mergeCells>
  <pageMargins left="0.75" right="0.75" top="1" bottom="1" header="0.511811023622047" footer="0.51180555555555596"/>
  <pageSetup paperSize="9" fitToHeight="0" orientation="portrait" horizontalDpi="300" verticalDpi="300"/>
  <headerFooter>
    <oddFooter>&amp;LGold Standard · Basic-Services Index v2.0&amp;R&amp;P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9BD"/>
    <pageSetUpPr fitToPage="1"/>
  </sheetPr>
  <dimension ref="A1:C56"/>
  <sheetViews>
    <sheetView showGridLines="0" topLeftCell="A47" zoomScaleNormal="100" workbookViewId="0"/>
  </sheetViews>
  <sheetFormatPr defaultColWidth="8.7109375" defaultRowHeight="14.25"/>
  <cols>
    <col min="1" max="1" width="44" customWidth="1"/>
    <col min="2" max="2" width="26" customWidth="1"/>
    <col min="3" max="3" width="34" customWidth="1"/>
  </cols>
  <sheetData>
    <row r="1" spans="1:3" ht="16.5" customHeight="1">
      <c r="A1" s="10" t="s">
        <v>257</v>
      </c>
      <c r="B1" s="4"/>
      <c r="C1" s="4"/>
    </row>
    <row r="2" spans="1:3" ht="27.75" customHeight="1">
      <c r="A2" s="1" t="s">
        <v>258</v>
      </c>
      <c r="B2" s="1"/>
      <c r="C2" s="1"/>
    </row>
    <row r="3" spans="1:3" ht="14.25" customHeight="1">
      <c r="A3" s="4"/>
      <c r="B3" s="4"/>
      <c r="C3" s="4"/>
    </row>
    <row r="4" spans="1:3" ht="15" customHeight="1">
      <c r="A4" s="17" t="s">
        <v>259</v>
      </c>
      <c r="B4" s="17" t="s">
        <v>260</v>
      </c>
      <c r="C4" s="17" t="s">
        <v>261</v>
      </c>
    </row>
    <row r="5" spans="1:3" ht="15" customHeight="1">
      <c r="A5" s="52" t="s">
        <v>262</v>
      </c>
      <c r="B5" s="52"/>
      <c r="C5" s="52"/>
    </row>
    <row r="6" spans="1:3" ht="15" customHeight="1">
      <c r="A6" s="50" t="s">
        <v>263</v>
      </c>
      <c r="B6" s="50" t="s">
        <v>264</v>
      </c>
      <c r="C6" s="50" t="s">
        <v>265</v>
      </c>
    </row>
    <row r="7" spans="1:3" ht="15" customHeight="1">
      <c r="A7" s="50" t="s">
        <v>266</v>
      </c>
      <c r="B7" s="50" t="s">
        <v>267</v>
      </c>
      <c r="C7" s="50" t="s">
        <v>265</v>
      </c>
    </row>
    <row r="8" spans="1:3" ht="15" customHeight="1">
      <c r="A8" s="50" t="s">
        <v>268</v>
      </c>
      <c r="B8" s="50" t="s">
        <v>269</v>
      </c>
      <c r="C8" s="50" t="s">
        <v>265</v>
      </c>
    </row>
    <row r="9" spans="1:3" ht="15" customHeight="1">
      <c r="A9" s="50" t="s">
        <v>270</v>
      </c>
      <c r="B9" s="50" t="s">
        <v>271</v>
      </c>
      <c r="C9" s="50" t="s">
        <v>265</v>
      </c>
    </row>
    <row r="10" spans="1:3" ht="15" customHeight="1">
      <c r="A10" s="50" t="s">
        <v>272</v>
      </c>
      <c r="B10" s="50" t="s">
        <v>273</v>
      </c>
      <c r="C10" s="50" t="s">
        <v>274</v>
      </c>
    </row>
    <row r="11" spans="1:3" ht="15" customHeight="1">
      <c r="A11" s="50" t="s">
        <v>275</v>
      </c>
      <c r="B11" s="50" t="s">
        <v>276</v>
      </c>
      <c r="C11" s="50" t="s">
        <v>277</v>
      </c>
    </row>
    <row r="12" spans="1:3" ht="24" customHeight="1">
      <c r="A12" s="50" t="s">
        <v>278</v>
      </c>
      <c r="B12" s="50" t="s">
        <v>279</v>
      </c>
      <c r="C12" s="50" t="s">
        <v>280</v>
      </c>
    </row>
    <row r="13" spans="1:3" ht="24" customHeight="1">
      <c r="A13" s="50" t="s">
        <v>281</v>
      </c>
      <c r="B13" s="50" t="s">
        <v>282</v>
      </c>
      <c r="C13" s="50" t="s">
        <v>283</v>
      </c>
    </row>
    <row r="14" spans="1:3" ht="24" customHeight="1">
      <c r="A14" s="50" t="s">
        <v>284</v>
      </c>
      <c r="B14" s="50" t="s">
        <v>285</v>
      </c>
      <c r="C14" s="50" t="s">
        <v>286</v>
      </c>
    </row>
    <row r="15" spans="1:3" ht="15" customHeight="1">
      <c r="A15" s="52" t="s">
        <v>287</v>
      </c>
      <c r="B15" s="52"/>
      <c r="C15" s="52"/>
    </row>
    <row r="16" spans="1:3" ht="15" customHeight="1">
      <c r="A16" s="50" t="s">
        <v>288</v>
      </c>
      <c r="B16" s="50" t="s">
        <v>289</v>
      </c>
      <c r="C16" s="50" t="s">
        <v>290</v>
      </c>
    </row>
    <row r="17" spans="1:3" ht="24" customHeight="1">
      <c r="A17" s="50" t="s">
        <v>291</v>
      </c>
      <c r="B17" s="50" t="s">
        <v>292</v>
      </c>
      <c r="C17" s="50" t="s">
        <v>293</v>
      </c>
    </row>
    <row r="18" spans="1:3" ht="24" customHeight="1">
      <c r="A18" s="50" t="s">
        <v>294</v>
      </c>
      <c r="B18" s="50" t="s">
        <v>295</v>
      </c>
      <c r="C18" s="50" t="s">
        <v>296</v>
      </c>
    </row>
    <row r="19" spans="1:3" ht="15" customHeight="1">
      <c r="A19" s="50" t="s">
        <v>297</v>
      </c>
      <c r="B19" s="50" t="s">
        <v>298</v>
      </c>
      <c r="C19" s="50" t="s">
        <v>296</v>
      </c>
    </row>
    <row r="20" spans="1:3" ht="15" customHeight="1">
      <c r="A20" s="52" t="s">
        <v>299</v>
      </c>
      <c r="B20" s="52"/>
      <c r="C20" s="52"/>
    </row>
    <row r="21" spans="1:3" ht="24" customHeight="1">
      <c r="A21" s="50" t="s">
        <v>300</v>
      </c>
      <c r="B21" s="50" t="s">
        <v>301</v>
      </c>
      <c r="C21" s="50" t="s">
        <v>274</v>
      </c>
    </row>
    <row r="22" spans="1:3" ht="15" customHeight="1">
      <c r="A22" s="50" t="s">
        <v>302</v>
      </c>
      <c r="B22" s="50" t="s">
        <v>303</v>
      </c>
      <c r="C22" s="50" t="s">
        <v>274</v>
      </c>
    </row>
    <row r="23" spans="1:3" ht="15" customHeight="1">
      <c r="A23" s="50" t="s">
        <v>304</v>
      </c>
      <c r="B23" s="50" t="s">
        <v>305</v>
      </c>
      <c r="C23" s="50" t="s">
        <v>306</v>
      </c>
    </row>
    <row r="24" spans="1:3" ht="24" customHeight="1">
      <c r="A24" s="50" t="s">
        <v>307</v>
      </c>
      <c r="B24" s="50" t="s">
        <v>308</v>
      </c>
      <c r="C24" s="50" t="s">
        <v>309</v>
      </c>
    </row>
    <row r="25" spans="1:3" ht="15" customHeight="1">
      <c r="A25" s="50" t="s">
        <v>310</v>
      </c>
      <c r="B25" s="50" t="s">
        <v>311</v>
      </c>
      <c r="C25" s="50" t="s">
        <v>306</v>
      </c>
    </row>
    <row r="26" spans="1:3" ht="15" customHeight="1">
      <c r="A26" s="50" t="s">
        <v>312</v>
      </c>
      <c r="B26" s="50" t="s">
        <v>313</v>
      </c>
      <c r="C26" s="50" t="s">
        <v>306</v>
      </c>
    </row>
    <row r="27" spans="1:3" ht="15" customHeight="1">
      <c r="A27" s="50" t="s">
        <v>314</v>
      </c>
      <c r="B27" s="50" t="s">
        <v>315</v>
      </c>
      <c r="C27" s="50" t="s">
        <v>316</v>
      </c>
    </row>
    <row r="28" spans="1:3" ht="15" customHeight="1">
      <c r="A28" s="52" t="s">
        <v>317</v>
      </c>
      <c r="B28" s="52"/>
      <c r="C28" s="52"/>
    </row>
    <row r="29" spans="1:3" ht="24" customHeight="1">
      <c r="A29" s="50" t="s">
        <v>318</v>
      </c>
      <c r="B29" s="50" t="s">
        <v>319</v>
      </c>
      <c r="C29" s="50" t="s">
        <v>230</v>
      </c>
    </row>
    <row r="30" spans="1:3" ht="15" customHeight="1">
      <c r="A30" s="50" t="s">
        <v>320</v>
      </c>
      <c r="B30" s="50" t="s">
        <v>321</v>
      </c>
      <c r="C30" s="50" t="s">
        <v>234</v>
      </c>
    </row>
    <row r="31" spans="1:3" ht="15" customHeight="1">
      <c r="A31" s="50" t="s">
        <v>322</v>
      </c>
      <c r="B31" s="50" t="s">
        <v>323</v>
      </c>
      <c r="C31" s="50" t="s">
        <v>238</v>
      </c>
    </row>
    <row r="32" spans="1:3" ht="15" customHeight="1">
      <c r="A32" s="50" t="s">
        <v>324</v>
      </c>
      <c r="B32" s="50" t="s">
        <v>325</v>
      </c>
      <c r="C32" s="50" t="s">
        <v>246</v>
      </c>
    </row>
    <row r="33" spans="1:3" ht="15" customHeight="1">
      <c r="A33" s="50" t="s">
        <v>326</v>
      </c>
      <c r="B33" s="50" t="s">
        <v>327</v>
      </c>
      <c r="C33" s="50" t="s">
        <v>249</v>
      </c>
    </row>
    <row r="34" spans="1:3" ht="24" customHeight="1">
      <c r="A34" s="50" t="s">
        <v>328</v>
      </c>
      <c r="B34" s="50" t="s">
        <v>329</v>
      </c>
      <c r="C34" s="50" t="s">
        <v>330</v>
      </c>
    </row>
    <row r="35" spans="1:3" ht="15" customHeight="1">
      <c r="A35" s="52" t="s">
        <v>331</v>
      </c>
      <c r="B35" s="52"/>
      <c r="C35" s="52"/>
    </row>
    <row r="36" spans="1:3" ht="24" customHeight="1">
      <c r="A36" s="50" t="s">
        <v>332</v>
      </c>
      <c r="B36" s="50" t="s">
        <v>333</v>
      </c>
      <c r="C36" s="50" t="s">
        <v>334</v>
      </c>
    </row>
    <row r="37" spans="1:3" ht="24" customHeight="1">
      <c r="A37" s="50" t="s">
        <v>335</v>
      </c>
      <c r="B37" s="50" t="s">
        <v>336</v>
      </c>
      <c r="C37" s="50" t="s">
        <v>337</v>
      </c>
    </row>
    <row r="38" spans="1:3" ht="14.25" customHeight="1">
      <c r="A38" s="4"/>
      <c r="B38" s="4"/>
      <c r="C38" s="4"/>
    </row>
    <row r="39" spans="1:3" ht="15" customHeight="1">
      <c r="A39" s="30" t="s">
        <v>338</v>
      </c>
      <c r="B39" s="30"/>
      <c r="C39" s="30"/>
    </row>
    <row r="40" spans="1:3" ht="24" customHeight="1">
      <c r="A40" s="1" t="s">
        <v>339</v>
      </c>
      <c r="B40" s="1"/>
      <c r="C40" s="1"/>
    </row>
    <row r="41" spans="1:3" ht="24" customHeight="1">
      <c r="A41" s="1" t="s">
        <v>340</v>
      </c>
      <c r="B41" s="1"/>
      <c r="C41" s="1"/>
    </row>
    <row r="42" spans="1:3" ht="24" customHeight="1">
      <c r="A42" s="1" t="s">
        <v>341</v>
      </c>
      <c r="B42" s="1"/>
      <c r="C42" s="1"/>
    </row>
    <row r="43" spans="1:3" ht="24" customHeight="1">
      <c r="A43" s="1" t="s">
        <v>342</v>
      </c>
      <c r="B43" s="1"/>
      <c r="C43" s="1"/>
    </row>
    <row r="44" spans="1:3" ht="24" customHeight="1">
      <c r="A44" s="1" t="s">
        <v>343</v>
      </c>
      <c r="B44" s="1"/>
      <c r="C44" s="1"/>
    </row>
    <row r="45" spans="1:3" ht="24" customHeight="1">
      <c r="A45" s="1" t="s">
        <v>344</v>
      </c>
      <c r="B45" s="1"/>
      <c r="C45" s="1"/>
    </row>
    <row r="46" spans="1:3" ht="24" customHeight="1">
      <c r="A46" s="1" t="s">
        <v>345</v>
      </c>
      <c r="B46" s="1"/>
      <c r="C46" s="1"/>
    </row>
    <row r="47" spans="1:3" ht="24" customHeight="1">
      <c r="A47" s="1" t="s">
        <v>346</v>
      </c>
      <c r="B47" s="1"/>
      <c r="C47" s="1"/>
    </row>
    <row r="48" spans="1:3" ht="24" customHeight="1">
      <c r="A48" s="1" t="s">
        <v>347</v>
      </c>
      <c r="B48" s="1"/>
      <c r="C48" s="1"/>
    </row>
    <row r="49" spans="1:3" ht="24" customHeight="1">
      <c r="A49" s="1" t="s">
        <v>348</v>
      </c>
      <c r="B49" s="1"/>
      <c r="C49" s="1"/>
    </row>
    <row r="50" spans="1:3" ht="24" customHeight="1">
      <c r="A50" s="1" t="s">
        <v>349</v>
      </c>
      <c r="B50" s="1"/>
      <c r="C50" s="1"/>
    </row>
    <row r="51" spans="1:3" ht="24" customHeight="1">
      <c r="A51" s="1" t="s">
        <v>350</v>
      </c>
      <c r="B51" s="1"/>
      <c r="C51" s="1"/>
    </row>
    <row r="52" spans="1:3" ht="24" customHeight="1">
      <c r="A52" s="1" t="s">
        <v>351</v>
      </c>
      <c r="B52" s="1"/>
      <c r="C52" s="1"/>
    </row>
    <row r="53" spans="1:3" ht="24" customHeight="1">
      <c r="A53" s="1" t="s">
        <v>352</v>
      </c>
      <c r="B53" s="1"/>
      <c r="C53" s="1"/>
    </row>
    <row r="54" spans="1:3" ht="24" customHeight="1">
      <c r="A54" s="1" t="s">
        <v>353</v>
      </c>
      <c r="B54" s="1"/>
      <c r="C54" s="1"/>
    </row>
    <row r="55" spans="1:3" ht="24" customHeight="1">
      <c r="A55" s="1" t="s">
        <v>354</v>
      </c>
      <c r="B55" s="1"/>
      <c r="C55" s="1"/>
    </row>
    <row r="56" spans="1:3" ht="24" customHeight="1">
      <c r="A56" s="1" t="s">
        <v>355</v>
      </c>
      <c r="B56" s="1"/>
      <c r="C56" s="1"/>
    </row>
  </sheetData>
  <mergeCells count="18">
    <mergeCell ref="A54:C54"/>
    <mergeCell ref="A55:C55"/>
    <mergeCell ref="A56:C56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2:C2"/>
    <mergeCell ref="A40:C40"/>
    <mergeCell ref="A41:C41"/>
    <mergeCell ref="A42:C42"/>
    <mergeCell ref="A43:C43"/>
  </mergeCells>
  <pageMargins left="0.75" right="0.75" top="1" bottom="1" header="0.511811023622047" footer="0.51180555555555596"/>
  <pageSetup paperSize="9" fitToHeight="0" orientation="portrait" horizontalDpi="300" verticalDpi="300"/>
  <headerFooter>
    <oddFooter>&amp;LGold Standard · Basic-Services Index v2.0&amp;R&amp;P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9BD"/>
    <pageSetUpPr fitToPage="1"/>
  </sheetPr>
  <dimension ref="A1:B34"/>
  <sheetViews>
    <sheetView showGridLines="0" zoomScaleNormal="100" workbookViewId="0">
      <selection activeCell="B38" sqref="B38"/>
    </sheetView>
  </sheetViews>
  <sheetFormatPr defaultColWidth="8.7109375" defaultRowHeight="14.25"/>
  <cols>
    <col min="1" max="1" width="3" customWidth="1"/>
    <col min="2" max="2" width="104" customWidth="1"/>
  </cols>
  <sheetData>
    <row r="1" spans="1:2" ht="21.75" customHeight="1">
      <c r="A1" s="4"/>
      <c r="B1" s="53" t="s">
        <v>356</v>
      </c>
    </row>
    <row r="2" spans="1:2" ht="14.25" customHeight="1">
      <c r="A2" s="4"/>
      <c r="B2" s="4"/>
    </row>
    <row r="3" spans="1:2" ht="15" customHeight="1">
      <c r="A3" s="4"/>
      <c r="B3" s="54" t="s">
        <v>357</v>
      </c>
    </row>
    <row r="4" spans="1:2" ht="25.5" customHeight="1">
      <c r="A4" s="4"/>
      <c r="B4" s="10" t="s">
        <v>358</v>
      </c>
    </row>
    <row r="5" spans="1:2" ht="25.5" customHeight="1">
      <c r="A5" s="4"/>
      <c r="B5" s="10" t="s">
        <v>359</v>
      </c>
    </row>
    <row r="6" spans="1:2" ht="25.5" customHeight="1">
      <c r="A6" s="4"/>
      <c r="B6" s="10" t="s">
        <v>360</v>
      </c>
    </row>
    <row r="7" spans="1:2" ht="14.25" customHeight="1">
      <c r="A7" s="4"/>
      <c r="B7" s="4"/>
    </row>
    <row r="8" spans="1:2" ht="15" customHeight="1">
      <c r="A8" s="4"/>
      <c r="B8" s="54" t="s">
        <v>361</v>
      </c>
    </row>
    <row r="9" spans="1:2" ht="78" customHeight="1">
      <c r="A9" s="4"/>
      <c r="B9" s="10" t="s">
        <v>362</v>
      </c>
    </row>
    <row r="10" spans="1:2" ht="25.5" customHeight="1">
      <c r="A10" s="4"/>
      <c r="B10" s="10" t="s">
        <v>363</v>
      </c>
    </row>
    <row r="11" spans="1:2" ht="39" customHeight="1">
      <c r="A11" s="4"/>
      <c r="B11" s="10" t="s">
        <v>364</v>
      </c>
    </row>
    <row r="12" spans="1:2" ht="39" customHeight="1">
      <c r="A12" s="4"/>
      <c r="B12" s="10" t="s">
        <v>365</v>
      </c>
    </row>
    <row r="13" spans="1:2" ht="14.25" customHeight="1">
      <c r="A13" s="4"/>
      <c r="B13" s="4"/>
    </row>
    <row r="14" spans="1:2" ht="15" customHeight="1">
      <c r="A14" s="4"/>
      <c r="B14" s="54" t="s">
        <v>366</v>
      </c>
    </row>
    <row r="15" spans="1:2" ht="25.5" customHeight="1">
      <c r="A15" s="4"/>
      <c r="B15" s="10" t="s">
        <v>367</v>
      </c>
    </row>
    <row r="16" spans="1:2" ht="25.5" customHeight="1">
      <c r="A16" s="4"/>
      <c r="B16" s="10" t="s">
        <v>368</v>
      </c>
    </row>
    <row r="17" spans="1:2" ht="25.5" customHeight="1">
      <c r="A17" s="4"/>
      <c r="B17" s="10" t="s">
        <v>369</v>
      </c>
    </row>
    <row r="18" spans="1:2" ht="14.25" customHeight="1">
      <c r="A18" s="4"/>
      <c r="B18" s="4"/>
    </row>
    <row r="19" spans="1:2" ht="15" customHeight="1">
      <c r="A19" s="4"/>
      <c r="B19" s="54" t="s">
        <v>370</v>
      </c>
    </row>
    <row r="20" spans="1:2" ht="25.5" customHeight="1">
      <c r="A20" s="4"/>
      <c r="B20" s="10" t="s">
        <v>371</v>
      </c>
    </row>
    <row r="21" spans="1:2" ht="39" customHeight="1">
      <c r="A21" s="4"/>
      <c r="B21" s="10" t="s">
        <v>372</v>
      </c>
    </row>
    <row r="22" spans="1:2" ht="14.25" customHeight="1">
      <c r="A22" s="4"/>
      <c r="B22" s="4"/>
    </row>
    <row r="23" spans="1:2" ht="15" customHeight="1">
      <c r="A23" s="4"/>
      <c r="B23" s="54" t="s">
        <v>373</v>
      </c>
    </row>
    <row r="24" spans="1:2" ht="51.75" customHeight="1">
      <c r="A24" s="4"/>
      <c r="B24" s="10" t="s">
        <v>374</v>
      </c>
    </row>
    <row r="25" spans="1:2" ht="39" customHeight="1">
      <c r="A25" s="4"/>
      <c r="B25" s="10" t="s">
        <v>375</v>
      </c>
    </row>
    <row r="26" spans="1:2" ht="25.5" customHeight="1">
      <c r="A26" s="4"/>
      <c r="B26" s="10" t="s">
        <v>376</v>
      </c>
    </row>
    <row r="27" spans="1:2" ht="14.25" customHeight="1">
      <c r="A27" s="4"/>
      <c r="B27" s="4"/>
    </row>
    <row r="28" spans="1:2" ht="15" customHeight="1">
      <c r="A28" s="4"/>
      <c r="B28" s="54" t="s">
        <v>377</v>
      </c>
    </row>
    <row r="29" spans="1:2" ht="39" customHeight="1">
      <c r="A29" s="4"/>
      <c r="B29" s="10" t="s">
        <v>378</v>
      </c>
    </row>
    <row r="30" spans="1:2" ht="39" customHeight="1">
      <c r="A30" s="4"/>
      <c r="B30" s="10" t="s">
        <v>379</v>
      </c>
    </row>
    <row r="31" spans="1:2" ht="25.5" customHeight="1">
      <c r="A31" s="4"/>
      <c r="B31" s="10" t="s">
        <v>380</v>
      </c>
    </row>
    <row r="32" spans="1:2" ht="25.5" customHeight="1">
      <c r="A32" s="4"/>
      <c r="B32" s="10" t="s">
        <v>381</v>
      </c>
    </row>
    <row r="33" spans="1:2" ht="14.25" customHeight="1">
      <c r="A33" s="4"/>
      <c r="B33" s="4"/>
    </row>
    <row r="34" spans="1:2" ht="30" customHeight="1">
      <c r="A34" s="4"/>
      <c r="B34" s="55"/>
    </row>
  </sheetData>
  <pageMargins left="0.75" right="0.75" top="1" bottom="1" header="0.511811023622047" footer="0.51180555555555596"/>
  <pageSetup paperSize="9" fitToHeight="0" orientation="portrait" horizontalDpi="300" verticalDpi="300"/>
  <headerFooter>
    <oddFooter>&amp;LGold Standard · Basic-Services Index v2.0&amp;R&amp;P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/>
  <cp:revision>0</cp:revision>
  <dcterms:created xsi:type="dcterms:W3CDTF">2026-07-10T21:43:30Z</dcterms:created>
  <dcterms:modified xsi:type="dcterms:W3CDTF">2026-10-22T17:23:58Z</dcterms:modified>
  <cp:category/>
  <cp:contentStatus/>
</cp:coreProperties>
</file>